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465" windowWidth="15480" windowHeight="6510" tabRatio="725" activeTab="1"/>
  </bookViews>
  <sheets>
    <sheet name="Introduction" sheetId="1" r:id="rId1"/>
    <sheet name="Quantity-Structured" sheetId="2" r:id="rId2"/>
    <sheet name="User-Based" sheetId="3" r:id="rId3"/>
    <sheet name="Result (CPU, Memory, Disk)" sheetId="4" r:id="rId4"/>
    <sheet name="Workload" sheetId="5" r:id="rId5"/>
    <sheet name="liveCache (Memory)" sheetId="6" r:id="rId6"/>
    <sheet name="liveCache (Constants)" sheetId="7" r:id="rId7"/>
  </sheets>
  <definedNames>
    <definedName name="AbgGesamt">'liveCache (Memory)'!$K$54</definedName>
    <definedName name="Admin_Anker">'liveCache (Constants)'!$G$106</definedName>
    <definedName name="Admin_AnkerP">'liveCache (Constants)'!$I$106</definedName>
    <definedName name="AdminAnc_K_Flag">'liveCache (Constants)'!$E$106</definedName>
    <definedName name="AdminAnc_P_Flag">'liveCache (Constants)'!$C$106</definedName>
    <definedName name="AggregateGesamt">'liveCache (Memory)'!$G$81</definedName>
    <definedName name="AggregatEinzelVerbrauch">'liveCache (Memory)'!$G$80</definedName>
    <definedName name="AktProPPMVerbrauch">'liveCache (Memory)'!$G$94</definedName>
    <definedName name="AlertObject">'liveCache (Constants)'!#REF!</definedName>
    <definedName name="AlertObject_K_Flag">'liveCache (Constants)'!#REF!</definedName>
    <definedName name="AlertObject_P_Flag">'liveCache (Constants)'!#REF!</definedName>
    <definedName name="AlertObjectP">'liveCache (Constants)'!#REF!</definedName>
    <definedName name="AntBucketRes">'liveCache (Memory)'!$B$12</definedName>
    <definedName name="AntIoMerkmale">'liveCache (Memory)'!$B$17</definedName>
    <definedName name="AntResBewertungen">'liveCache (Memory)'!$B$8</definedName>
    <definedName name="AntStorageRes">'liveCache (Memory)'!$B$14</definedName>
    <definedName name="AnzAbgProMat">'liveCache (Memory)'!$K$55</definedName>
    <definedName name="AnzAggregate">'liveCache (Memory)'!$B$82</definedName>
    <definedName name="AnzahlConstraints" localSheetId="5">'liveCache (Memory)'!$B$33</definedName>
    <definedName name="AnzahlConstraints">#REF!</definedName>
    <definedName name="AnzAlerts" localSheetId="5">'liveCache (Memory)'!#REF!</definedName>
    <definedName name="AnzAlerts">#REF!</definedName>
    <definedName name="AnzAnforderungen">'liveCache (Memory)'!$B$19</definedName>
    <definedName name="AnzAVO" localSheetId="5">'liveCache (Memory)'!$B$31</definedName>
    <definedName name="AnzAVO">#REF!</definedName>
    <definedName name="AnzBeleger" localSheetId="5">'liveCache (Memory)'!$B$35</definedName>
    <definedName name="AnzBeleger">#REF!</definedName>
    <definedName name="AnzBestandsPos">'liveCache (Memory)'!$B$21</definedName>
    <definedName name="AnzBestEinteilungen" localSheetId="5">'liveCache (Memory)'!$B$23</definedName>
    <definedName name="AnzBestEinteilungen">#REF!</definedName>
    <definedName name="AnzBestellungen" localSheetId="5">'liveCache (Memory)'!$B$22</definedName>
    <definedName name="AnzBestellungen">#REF!</definedName>
    <definedName name="AnzBuckest">'liveCache (Memory)'!$B$8</definedName>
    <definedName name="AnzBuckets">'liveCache (Memory)'!$B$79</definedName>
    <definedName name="AnzEventVektoren">'liveCache (Memory)'!#REF!</definedName>
    <definedName name="AnzInputKnoten">'liveCache (Memory)'!$K$37</definedName>
    <definedName name="AnzIoMerkmale">'liveCache (Memory)'!$B$18</definedName>
    <definedName name="AnzIoNodeBestand">'liveCache (Memory)'!$K$21</definedName>
    <definedName name="AnzIoNodeBestellung">'liveCache (Memory)'!$K$26</definedName>
    <definedName name="AnzIoNodeKundenGross">'liveCache (Memory)'!$K$23</definedName>
    <definedName name="AnzIoNodeKundenKlein">'liveCache (Memory)'!$K$22</definedName>
    <definedName name="AnzIoNodeMPA">'liveCache (Memory)'!$K$36</definedName>
    <definedName name="AnzIoNodeProduktionInGross">'liveCache (Memory)'!$K$32</definedName>
    <definedName name="AnzIoNodeProduktionInKlein">'liveCache (Memory)'!$K$30</definedName>
    <definedName name="AnzIoNodeProduktionInMittel">'liveCache (Memory)'!$K$31</definedName>
    <definedName name="AnzIoNodeProduktionOut">'liveCache (Memory)'!$K$29</definedName>
    <definedName name="AnzIoNodeSnp">'liveCache (Memory)'!$K$25</definedName>
    <definedName name="AnzIoNodeSUA">'liveCache (Memory)'!$K$34</definedName>
    <definedName name="AnzIoNodeSUAOut">'liveCache (Memory)'!$K$35</definedName>
    <definedName name="AnzIoNodeTransportIn">'liveCache (Memory)'!$K$27</definedName>
    <definedName name="AnzIoNodeTransportOut">'liveCache (Memory)'!$K$28</definedName>
    <definedName name="AnzIoNodeVorplan">'liveCache (Memory)'!$K$24</definedName>
    <definedName name="AnzKDAufträge" localSheetId="5">'liveCache (Memory)'!$B$24</definedName>
    <definedName name="AnzKDAufträge">#REF!</definedName>
    <definedName name="AnzKDEinteilungen" localSheetId="5">'liveCache (Memory)'!$B$25</definedName>
    <definedName name="AnzKDEinteilungen">#REF!</definedName>
    <definedName name="AnzKDEinteilungenGross">'liveCache (Memory)'!$B$26</definedName>
    <definedName name="AnzKennzahlen">'liveCache (Memory)'!$B$80</definedName>
    <definedName name="AnzKomponenten" localSheetId="5">'liveCache (Memory)'!$B$30</definedName>
    <definedName name="AnzKomponenten">#REF!</definedName>
    <definedName name="AnzLagerbestände">'liveCache (Memory)'!$B$20</definedName>
    <definedName name="AnzModi" localSheetId="5">'liveCache (Memory)'!$B$34</definedName>
    <definedName name="AnzModi">#REF!</definedName>
    <definedName name="AnzOutputKnoten">'liveCache (Memory)'!$K$38</definedName>
    <definedName name="AnzPegAreas" localSheetId="5">'liveCache (Memory)'!$B$15</definedName>
    <definedName name="AnzPegAreas">#REF!</definedName>
    <definedName name="AnzProdAufträge" localSheetId="5">'liveCache (Memory)'!$B$29</definedName>
    <definedName name="AnzProdAufträge">#REF!</definedName>
    <definedName name="AnzResBewertungen">'liveCache (Memory)'!$B$9</definedName>
    <definedName name="AnzResBuckets">'liveCache (Memory)'!$B$13</definedName>
    <definedName name="AnzRessourcen" localSheetId="5">'liveCache (Memory)'!$B$7</definedName>
    <definedName name="AnzRessourcen">#REF!</definedName>
    <definedName name="AnzSegmente" localSheetId="5">'liveCache (Memory)'!$B$32</definedName>
    <definedName name="AnzSegmente">#REF!</definedName>
    <definedName name="AnzSession" localSheetId="5">'liveCache (Memory)'!$B$109</definedName>
    <definedName name="AnzSessions" localSheetId="5">'liveCache (Memory)'!$B$109</definedName>
    <definedName name="AnzSessions">#REF!</definedName>
    <definedName name="AnzSNPAktproPPM">'liveCache (Memory)'!$B$92</definedName>
    <definedName name="AnzSnpAuftraege">'liveCache (Memory)'!$B$39</definedName>
    <definedName name="AnzSnpEinteilungen">'liveCache (Memory)'!$B$40</definedName>
    <definedName name="AnzSNPKompproPPM">'liveCache (Memory)'!$B$93</definedName>
    <definedName name="AnzSNPKompproPPMVerbrauch">'liveCache (Memory)'!$G$95</definedName>
    <definedName name="AnzSNPPLKomb">'liveCache (Memory)'!$B$88</definedName>
    <definedName name="AnzSNPPPM">'liveCache (Memory)'!$B$91</definedName>
    <definedName name="AnzSNPProdTransKomb">'liveCache (Memory)'!$B$89</definedName>
    <definedName name="AnzSNPRes">'liveCache (Memory)'!$B$90</definedName>
    <definedName name="AnzSNPResproPPM">'liveCache (Memory)'!$B$94</definedName>
    <definedName name="AnzSNPResproPPMVerbrauch">'liveCache (Memory)'!$G$96</definedName>
    <definedName name="AnzStorageNodes">'liveCache (Memory)'!$B$36</definedName>
    <definedName name="AnzStorageNodesProduktion">'liveCache (Memory)'!$K$33</definedName>
    <definedName name="AnzTransEinteilungen" localSheetId="5">'liveCache (Memory)'!$B$28</definedName>
    <definedName name="AnzTransEinteilungen">#REF!</definedName>
    <definedName name="AnzTransporte" localSheetId="5">'liveCache (Memory)'!$B$27</definedName>
    <definedName name="AnzTransporte">#REF!</definedName>
    <definedName name="AnzVorplanungsauftraege">'liveCache (Memory)'!$B$37</definedName>
    <definedName name="AnzVpEinteilungen">'liveCache (Memory)'!$B$38</definedName>
    <definedName name="AnzZeitBuckets">#REF!</definedName>
    <definedName name="AnzZeitraster">'liveCache (Memory)'!$B$77</definedName>
    <definedName name="AnzZeitreihen">'liveCache (Memory)'!$B$78</definedName>
    <definedName name="AnzZeitreihenAbg">'liveCache (Memory)'!$K$59</definedName>
    <definedName name="AnzZeitreihenZug">'liveCache (Memory)'!$K$68</definedName>
    <definedName name="AnzZeitrProaggregat">'liveCache (Memory)'!$B$83</definedName>
    <definedName name="AnzZeitscheiben" localSheetId="5">'liveCache (Memory)'!$B$11</definedName>
    <definedName name="AnzZeitscheiben">#REF!</definedName>
    <definedName name="AnzZeitstrahle" localSheetId="5">'liveCache (Memory)'!$B$10</definedName>
    <definedName name="AnzZeitstrahle">#REF!</definedName>
    <definedName name="AnzZugProMat">'liveCache (Memory)'!$K$53</definedName>
    <definedName name="ATP_Anker">'liveCache (Constants)'!$G$81</definedName>
    <definedName name="ATP_AnkerP">'liveCache (Constants)'!$I$81</definedName>
    <definedName name="ATP_AnzAnker" localSheetId="5">'liveCache (Memory)'!$B$51</definedName>
    <definedName name="ATP_AnzAnker">#REF!</definedName>
    <definedName name="ATP_AnzChargen" localSheetId="5">'liveCache (Memory)'!$B$56</definedName>
    <definedName name="ATP_AnzChargen">#REF!</definedName>
    <definedName name="ATP_AnzChargenA">'liveCache (Memory)'!$B$56</definedName>
    <definedName name="ATP_AnzChargenZ">'liveCache (Memory)'!$B$65</definedName>
    <definedName name="ATP_AnzKategorien" localSheetId="5">'liveCache (Memory)'!$B$54</definedName>
    <definedName name="ATP_AnzKategorien">#REF!</definedName>
    <definedName name="ATP_AnzKategorienA">'liveCache (Memory)'!$B$54</definedName>
    <definedName name="ATP_AnzKategorienZ">'liveCache (Memory)'!$B$63</definedName>
    <definedName name="ATP_AnzLagerbestände">#REF!</definedName>
    <definedName name="ATP_AnzLagerorte" localSheetId="5">'liveCache (Memory)'!$B$55</definedName>
    <definedName name="ATP_AnzLagerorte">#REF!</definedName>
    <definedName name="ATP_AnzLagerorteZ">'liveCache (Memory)'!$B$64</definedName>
    <definedName name="ATP_BlockArray_Head">'liveCache (Constants)'!$G$84</definedName>
    <definedName name="ATP_BlockArray_HeadP">'liveCache (Constants)'!$I$84</definedName>
    <definedName name="ATP_CSVO_Zeile">'liveCache (Constants)'!$G$82</definedName>
    <definedName name="ATP_CSVO_ZeileP">'liveCache (Constants)'!$I$82</definedName>
    <definedName name="ATP_Issue_Block">'liveCache (Constants)'!$G$91</definedName>
    <definedName name="ATP_Issue_BlockP">'liveCache (Constants)'!$I$91</definedName>
    <definedName name="ATP_Issue_BlockSize">'liveCache (Constants)'!$G$92</definedName>
    <definedName name="ATP_Issue_Entry">'liveCache (Constants)'!$G$93</definedName>
    <definedName name="ATP_Issue_EntryP">'liveCache (Constants)'!$I$93</definedName>
    <definedName name="ATP_Issue_ZeitrLänge" localSheetId="5">'liveCache (Memory)'!$B$60</definedName>
    <definedName name="ATP_Issue_ZeitrLänge">#REF!</definedName>
    <definedName name="ATP_MaxCSVO_A">'liveCache (Memory)'!$K$56</definedName>
    <definedName name="ATP_Receipt_Block">'liveCache (Constants)'!$G$87</definedName>
    <definedName name="ATP_Receipt_BlockP">'liveCache (Constants)'!$I$87</definedName>
    <definedName name="ATP_Receipt_BlockSize">'liveCache (Constants)'!$G$88</definedName>
    <definedName name="ATP_Receipt_Entry">'liveCache (Constants)'!$G$89</definedName>
    <definedName name="ATP_Receipt_EntryP">'liveCache (Constants)'!$I$89</definedName>
    <definedName name="ATP_Receipt_ZeitrLänge" localSheetId="5">'liveCache (Memory)'!$B$69</definedName>
    <definedName name="ATP_Receipt_ZeitrLänge">#REF!</definedName>
    <definedName name="ATP_Stock_Block">'liveCache (Constants)'!$G$85</definedName>
    <definedName name="ATP_Stock_BlockP">'liveCache (Constants)'!$I$85</definedName>
    <definedName name="ATP_TmAx_Handle">'liveCache (Constants)'!$G$83</definedName>
    <definedName name="ATP_TmAx_HandleP">'liveCache (Constants)'!$I$83</definedName>
    <definedName name="BA_Admin_Block">'liveCache (Constants)'!$G$107</definedName>
    <definedName name="BA_Admin_K_Flag">'liveCache (Constants)'!$E$107</definedName>
    <definedName name="BA_Admin_P_Flag">'liveCache (Constants)'!$C$107</definedName>
    <definedName name="BA_Block_ALL">'liveCache (Constants)'!$G$104</definedName>
    <definedName name="BA_Block_ALL_K_Flag">'liveCache (Constants)'!$E$104</definedName>
    <definedName name="BA_Block_ALL_P">'liveCache (Constants)'!$I$104</definedName>
    <definedName name="BA_Block_ALL_P_Flag">'liveCache (Constants)'!$C$104</definedName>
    <definedName name="BA_Block_APS">'liveCache (Constants)'!$G$102</definedName>
    <definedName name="BA_Block_APS_K_Flag">'liveCache (Constants)'!$E$102</definedName>
    <definedName name="BA_Block_APS_P">'liveCache (Constants)'!$I$102</definedName>
    <definedName name="BA_Block_APS_P_Flag">'liveCache (Constants)'!$C$102</definedName>
    <definedName name="BA_Block_ATP">'liveCache (Constants)'!$G$103</definedName>
    <definedName name="BA_Block_ATP_K_Flag">'liveCache (Constants)'!$E$103</definedName>
    <definedName name="BA_Block_ATP_P">'liveCache (Constants)'!$I$103</definedName>
    <definedName name="BA_Block_ATP_P_Flag">'liveCache (Constants)'!$C$103</definedName>
    <definedName name="BA_Block_VerwP">'liveCache (Constants)'!$I$107</definedName>
    <definedName name="BA_Block_VPL">'liveCache (Constants)'!$G$105</definedName>
    <definedName name="BA_Block_VPL_K_Flag">'liveCache (Constants)'!$E$105</definedName>
    <definedName name="BA_Block_VPL_P">'liveCache (Constants)'!$I$105</definedName>
    <definedName name="BA_Block_VPL_P_Flag">'liveCache (Constants)'!$C$105</definedName>
    <definedName name="BA_Blockverw">'liveCache (Constants)'!$G$110</definedName>
    <definedName name="BA_BlockverwP">'liveCache (Constants)'!$I$110</definedName>
    <definedName name="BA_Kopf">'liveCache (Constants)'!$G$109</definedName>
    <definedName name="BA_Kopf_K_Flag">'liveCache (Constants)'!$E$109</definedName>
    <definedName name="BA_Kopf_P_Flag">'liveCache (Constants)'!$C$109</definedName>
    <definedName name="BA_KopfP">'liveCache (Constants)'!$I$109</definedName>
    <definedName name="Beleger">'liveCache (Constants)'!#REF!</definedName>
    <definedName name="Beleger_K_Flag">'liveCache (Constants)'!#REF!</definedName>
    <definedName name="Beleger_P_Flag">'liveCache (Constants)'!#REF!</definedName>
    <definedName name="BelegerP">'liveCache (Constants)'!#REF!</definedName>
    <definedName name="BelegungenBytes">'liveCache (Memory)'!$L$40</definedName>
    <definedName name="BenutzDP">'liveCache (Memory)'!$B$103</definedName>
    <definedName name="BenutzeATP">'liveCache (Memory)'!$B$105</definedName>
    <definedName name="BenutzeSNP">'liveCache (Memory)'!$B$104</definedName>
    <definedName name="Block_Array_ALL_Block">'liveCache (Constants)'!$C$104</definedName>
    <definedName name="Blockgröße_Delta">'liveCache (Constants)'!$G$101</definedName>
    <definedName name="Bucket">'liveCache (Constants)'!$G$11</definedName>
    <definedName name="Bucket_K_Flag">'liveCache (Constants)'!$E$11</definedName>
    <definedName name="Bucket_P_Flag">'liveCache (Constants)'!$C$11</definedName>
    <definedName name="Bucketdefinition" localSheetId="6">'liveCache (Constants)'!$G$114</definedName>
    <definedName name="Bucketdefinition_K_Flag" localSheetId="6">'liveCache (Constants)'!$E$114</definedName>
    <definedName name="Bucketdefinition_P_Flag" localSheetId="6">'liveCache (Constants)'!$C$114</definedName>
    <definedName name="BucketdefinitionP">'liveCache (Constants)'!$I$114</definedName>
    <definedName name="BucketP">'liveCache (Constants)'!$I$11</definedName>
    <definedName name="Campaign">'liveCache (Constants)'!$G$77</definedName>
    <definedName name="Campaign_K_Flag">'liveCache (Constants)'!$E$77</definedName>
    <definedName name="Campaign_P_Flag">'liveCache (Constants)'!$C$77</definedName>
    <definedName name="CampaignP">'liveCache (Constants)'!$I$77</definedName>
    <definedName name="CapaEventPersItem">'liveCache (Constants)'!#REF!</definedName>
    <definedName name="CapaEventPersItem_K_Flag">'liveCache (Constants)'!#REF!</definedName>
    <definedName name="CapaEventPersItem_P_Flag">'liveCache (Constants)'!#REF!</definedName>
    <definedName name="CapaEventPersItemP">'liveCache (Constants)'!#REF!</definedName>
    <definedName name="CharactBlock">'liveCache (Constants)'!$G$44</definedName>
    <definedName name="CharactBlock_K_Flag">'liveCache (Constants)'!$E$44</definedName>
    <definedName name="CharactBlock_P_Flag">'liveCache (Constants)'!$C$44</definedName>
    <definedName name="CharactBlockP">'liveCache (Constants)'!$I$44</definedName>
    <definedName name="CharacteristicsLineObject">'liveCache (Constants)'!$G$42</definedName>
    <definedName name="CharacteristicsLineObject_K_Flag">'liveCache (Constants)'!$E$42</definedName>
    <definedName name="CharacteristicsLineObject_P_Flag">'liveCache (Constants)'!$C$42</definedName>
    <definedName name="CharacteristicsLineObjectP">'liveCache (Constants)'!$I$42</definedName>
    <definedName name="Constraint">'liveCache (Constants)'!$G$21</definedName>
    <definedName name="Constraint_K_Flag">'liveCache (Constants)'!$E$21</definedName>
    <definedName name="Constraint_P_Flag">'liveCache (Constants)'!$C$21</definedName>
    <definedName name="ConstraintEntry">'liveCache (Constants)'!$G$46</definedName>
    <definedName name="ConstraintEntry_K_Flag">'liveCache (Constants)'!$E$46</definedName>
    <definedName name="ConstraintEntry_P_Flag">'liveCache (Constants)'!$C$46</definedName>
    <definedName name="ConstraintEntryP">'liveCache (Constants)'!$I$46</definedName>
    <definedName name="ConstraintP">'liveCache (Constants)'!$I$21</definedName>
    <definedName name="CSVO_Zeilen_Abgänge">'liveCache (Memory)'!$K$57</definedName>
    <definedName name="CSVO_Zeilen_Zugänge">'liveCache (Memory)'!$K$66</definedName>
    <definedName name="Delta_Anker_ALL">'liveCache (Constants)'!$G$96</definedName>
    <definedName name="Delta_Anker_ALL_P">'liveCache (Constants)'!$I$96</definedName>
    <definedName name="Delta_Anker_ATPAPSVPL">'liveCache (Constants)'!$G$95</definedName>
    <definedName name="Delta_Anker_ATPAPSVPL_P">'liveCache (Constants)'!$I$95</definedName>
    <definedName name="DeltaancALL_K_Flag">'liveCache (Constants)'!$E$96</definedName>
    <definedName name="DeltaancALL_P_Flag">'liveCache (Constants)'!$C$96</definedName>
    <definedName name="DeltaancATPAPSVPL_K_Flag">'liveCache (Constants)'!$E$95</definedName>
    <definedName name="DeltaancATPAPSVPL_P_Flag">'liveCache (Constants)'!$C$95</definedName>
    <definedName name="DeltasatzALL">'liveCache (Constants)'!$G$99</definedName>
    <definedName name="DeltasatzALL_P">'liveCache (Constants)'!$I$99</definedName>
    <definedName name="DeltasatzAPS">'liveCache (Constants)'!$G$97</definedName>
    <definedName name="DeltasatzAPS_P">'liveCache (Constants)'!$I$97</definedName>
    <definedName name="DeltasatzATP">'liveCache (Constants)'!$G$98</definedName>
    <definedName name="DeltasatzATP_P">'liveCache (Constants)'!$I$98</definedName>
    <definedName name="DeltasatzVPL">'liveCache (Constants)'!$G$100</definedName>
    <definedName name="DeltasatzVPL_P">'liveCache (Constants)'!$I$100</definedName>
    <definedName name="depp">'liveCache (Constants)'!$G$102</definedName>
    <definedName name="DOWNRegel" localSheetId="6">'liveCache (Constants)'!$G$124</definedName>
    <definedName name="DOWNRegel_K_Flag" localSheetId="6">'liveCache (Constants)'!$E$124</definedName>
    <definedName name="DOWNRegel_P_Flag" localSheetId="6">'liveCache (Constants)'!$C$124</definedName>
    <definedName name="DOWNRegelP">'liveCache (Constants)'!$I$124</definedName>
    <definedName name="DPGesamt">'liveCache (Memory)'!$G$85</definedName>
    <definedName name="EinfachWert" localSheetId="6">'liveCache (Constants)'!$G$120</definedName>
    <definedName name="EinfachWert_K_Flag" localSheetId="6">'liveCache (Constants)'!$E$120</definedName>
    <definedName name="EinfachWert_P_Flag" localSheetId="6">'liveCache (Constants)'!$C$120</definedName>
    <definedName name="EinfachWertP">'liveCache (Constants)'!$I$120</definedName>
    <definedName name="Eve_Index_node">'liveCache (Constants)'!$G$63</definedName>
    <definedName name="EVE_MAX_INDEX_SIZE">'liveCache (Constants)'!$G$61</definedName>
    <definedName name="EVE_MAX_INDEX_SIZE_P_Flag">'liveCache (Constants)'!#REF!</definedName>
    <definedName name="EVE_MAX_LEAF_SIZE">'liveCache (Constants)'!$G$64</definedName>
    <definedName name="EVE_MAX_LEAF_SIZE_P">'liveCache (Constants)'!$I$64</definedName>
    <definedName name="EVE_MAX_LEAF_SIZE_P_Flag">'liveCache (Constants)'!$C$64</definedName>
    <definedName name="EveBedarfBelegung">'liveCache (Constants)'!$G$65</definedName>
    <definedName name="EveBedarfBelegungP">'liveCache (Constants)'!$I$65</definedName>
    <definedName name="EveEventBlockItemPers">'liveCache (Constants)'!#REF!</definedName>
    <definedName name="EveEventBlockItemPersist">'liveCache (Constants)'!#REF!</definedName>
    <definedName name="EveEventBlockItemPersistP">'liveCache (Constants)'!#REF!</definedName>
    <definedName name="EveIndexItemPersist">'liveCache (Constants)'!$G$62</definedName>
    <definedName name="EveIndexItemPersistP">'liveCache (Constants)'!$I$62</definedName>
    <definedName name="EveIndexItemPersistV2">'liveCache (Constants)'!#REF!</definedName>
    <definedName name="EveIndexItemPersistV2_K_Flag">'liveCache (Constants)'!#REF!</definedName>
    <definedName name="EveIndexItemPersistV2_P_Flag">'liveCache (Constants)'!#REF!</definedName>
    <definedName name="EveIndexItemPersistV2P">'liveCache (Constants)'!#REF!</definedName>
    <definedName name="EveIndexPersistent">'liveCache (Constants)'!$G$63</definedName>
    <definedName name="EveIndexPersistent_K_Flag">'liveCache (Constants)'!$E$63</definedName>
    <definedName name="EveIndexPersistent_P_Flag">'liveCache (Constants)'!$C$63</definedName>
    <definedName name="EveIndexPersistentP">'liveCache (Constants)'!$I$63</definedName>
    <definedName name="EveLeafPersistent">'liveCache (Constants)'!#REF!</definedName>
    <definedName name="EveLeafPersistent_K_Flag">'liveCache (Constants)'!#REF!</definedName>
    <definedName name="EveLeafPersistent_P_Flag">'liveCache (Constants)'!#REF!</definedName>
    <definedName name="EveLeafPersistentP">'liveCache (Constants)'!#REF!</definedName>
    <definedName name="EveTreeRoot">'liveCache (Constants)'!$G$60</definedName>
    <definedName name="EveTreeRoot_K_Flag">'liveCache (Constants)'!$E$60</definedName>
    <definedName name="EveTreeRoot_P_Flag">'liveCache (Constants)'!$C$60</definedName>
    <definedName name="EveTreeRootP">'liveCache (Constants)'!$I$60</definedName>
    <definedName name="FixWert" localSheetId="6">'liveCache (Constants)'!$G$121</definedName>
    <definedName name="FixWert_K_Flag" localSheetId="6">'liveCache (Constants)'!$E$121</definedName>
    <definedName name="FixWert_P_Flag" localSheetId="6">'liveCache (Constants)'!$C$121</definedName>
    <definedName name="FixWertP">'liveCache (Constants)'!$I$121</definedName>
    <definedName name="GB">'liveCache (Memory)'!$K$5</definedName>
    <definedName name="GesZahlBeleger">'liveCache (Memory)'!#REF!</definedName>
    <definedName name="GesZahlConstraints">'liveCache (Memory)'!$K$18</definedName>
    <definedName name="GesZahlContrEntries">'liveCache (Memory)'!$K$19</definedName>
    <definedName name="GesZahlModeItems">'liveCache (Memory)'!$K$17</definedName>
    <definedName name="GesZahlOrders">'liveCache (Memory)'!$K$15</definedName>
    <definedName name="GesZahlSegments">'liveCache (Memory)'!$K$16</definedName>
    <definedName name="GesZahlValuations">'liveCache (Memory)'!$K$20</definedName>
    <definedName name="Guid22">'liveCache (Constants)'!$G$136</definedName>
    <definedName name="HardPeg">'liveCache (Constants)'!#REF!</definedName>
    <definedName name="HardPeg_K_Flag">'liveCache (Constants)'!#REF!</definedName>
    <definedName name="HardPeg_P_Flag">'liveCache (Constants)'!#REF!</definedName>
    <definedName name="HardPegP">'liveCache (Constants)'!#REF!</definedName>
    <definedName name="hubi">#REF!</definedName>
    <definedName name="hubi2">#REF!</definedName>
    <definedName name="hubi3">#REF!</definedName>
    <definedName name="i">'liveCache (Constants)'!$G$61</definedName>
    <definedName name="iii">'liveCache (Constants)'!#REF!</definedName>
    <definedName name="IndexBedarfinProz" localSheetId="5">'liveCache (Memory)'!#REF!</definedName>
    <definedName name="IndexBedarfinProz">#REF!</definedName>
    <definedName name="IPPEHead">'liveCache (Constants)'!$G$50</definedName>
    <definedName name="IPPEHead_K_Flag">'liveCache (Constants)'!$E$50</definedName>
    <definedName name="IPPEHead_P_Flag">'liveCache (Constants)'!$C$50</definedName>
    <definedName name="IPPEHeadP">'liveCache (Constants)'!$I$50</definedName>
    <definedName name="IPPELocator">'liveCache (Constants)'!$G$49</definedName>
    <definedName name="IPPELocator_K_Flag">'liveCache (Constants)'!$E$49</definedName>
    <definedName name="IPPELocator_P_Flag">'liveCache (Constants)'!$C$49</definedName>
    <definedName name="IPPEStation">'liveCache (Constants)'!$G$51</definedName>
    <definedName name="IPPEStation_K_Flag">'liveCache (Constants)'!$E$51</definedName>
    <definedName name="IPPEStation_P_Flag">'liveCache (Constants)'!$C$51</definedName>
    <definedName name="IPPEStationP">'liveCache (Constants)'!$I$51</definedName>
    <definedName name="Item_Per_Index">'liveCache (Constants)'!#REF!</definedName>
    <definedName name="Item_Per_Leaf_P">'liveCache (Constants)'!$I$66</definedName>
    <definedName name="items">'liveCache (Constants)'!#REF!</definedName>
    <definedName name="Items_Per_Index">'liveCache (Constants)'!#REF!</definedName>
    <definedName name="Items_Per_Index_Node">'liveCache (Constants)'!#REF!</definedName>
    <definedName name="Kennzahlbeschreibung" localSheetId="6">'liveCache (Constants)'!$G$119</definedName>
    <definedName name="Kennzahlbeschreibung_K_Flag" localSheetId="6">'liveCache (Constants)'!$E$119</definedName>
    <definedName name="Kennzahlbeschreibung_P_Flag" localSheetId="6">'liveCache (Constants)'!$C$119</definedName>
    <definedName name="KennzahlbeschreibungP">'liveCache (Constants)'!$I$119</definedName>
    <definedName name="Kennzahlschluessel" localSheetId="6">'liveCache (Constants)'!$G$118</definedName>
    <definedName name="Kennzahlschluessel_K_Flag" localSheetId="6">'liveCache (Constants)'!$E$118</definedName>
    <definedName name="Kennzahlschluessel_P_Flag" localSheetId="6">'liveCache (Constants)'!$C$118</definedName>
    <definedName name="KennzahlschluesselP">'liveCache (Constants)'!$I$118</definedName>
    <definedName name="KeyedPersistenz">'liveCache (Constants)'!$G$139</definedName>
    <definedName name="lCMSvariabel">'liveCache (Constants)'!$G$132</definedName>
    <definedName name="liveCacheMS">'liveCache (Constants)'!$G$131</definedName>
    <definedName name="lvcATPmemory">'liveCache (Memory)'!$H$70</definedName>
    <definedName name="lvcCPUFactor">#REF!</definedName>
    <definedName name="lvcDPmemory">'liveCache (Memory)'!$H$81</definedName>
    <definedName name="lvcSNPmemory">'liveCache (Memory)'!$H$41</definedName>
    <definedName name="MaxCSVOAbg">'liveCache (Memory)'!#REF!</definedName>
    <definedName name="MaxCSVOZug">'liveCache (Memory)'!$K$65</definedName>
    <definedName name="MerkmalsPegKante">'liveCache (Constants)'!#REF!</definedName>
    <definedName name="MinimumAbg">'liveCache (Memory)'!$K$58</definedName>
    <definedName name="MinimumZug">'liveCache (Memory)'!$K$67</definedName>
    <definedName name="Modus">'liveCache (Constants)'!#REF!</definedName>
    <definedName name="ModusP">'liveCache (Constants)'!#REF!</definedName>
    <definedName name="MultiLevelAtpOrderContainer">'liveCache (Constants)'!$G$73</definedName>
    <definedName name="MultiLevelAtpOrderContainer_K_Flag">'liveCache (Constants)'!$E$73</definedName>
    <definedName name="MultiLevelAtpOrderContainer_P_Flag">'liveCache (Constants)'!$C$73</definedName>
    <definedName name="MultiLevelAtpOrderContainerP">'liveCache (Constants)'!$I$73</definedName>
    <definedName name="NettoBedarfObjekte" localSheetId="5">'liveCache (Memory)'!$G$105</definedName>
    <definedName name="NettoBedarfObjekte">#REF!</definedName>
    <definedName name="OID">'liveCache (Constants)'!$G$135</definedName>
    <definedName name="OmsVarObject">'liveCache (Constants)'!$G$137</definedName>
    <definedName name="OmsVarObjectHead">'liveCache (Constants)'!$G$138</definedName>
    <definedName name="Order">'liveCache (Constants)'!$G$18</definedName>
    <definedName name="Order_K_Flag">'liveCache (Constants)'!$E$18</definedName>
    <definedName name="Order_P_Flag">'liveCache (Constants)'!$C$18</definedName>
    <definedName name="OrderP">'liveCache (Constants)'!$I$18</definedName>
    <definedName name="Overhead_Belegung_P">'liveCache (Constants)'!$I$67</definedName>
    <definedName name="PegArcDynC">'liveCache (Constants)'!$G$56</definedName>
    <definedName name="PegArcDynC_K_Flag">'liveCache (Constants)'!$E$56</definedName>
    <definedName name="PegArcDynC_P_Flag">'liveCache (Constants)'!$C$56</definedName>
    <definedName name="PegArcDynCP">'liveCache (Constants)'!$I$56</definedName>
    <definedName name="PegArcDynD">'liveCache (Constants)'!$G$55</definedName>
    <definedName name="PegArcDynD_K_Flag">'liveCache (Constants)'!$E$55</definedName>
    <definedName name="PegArcDynD_P_Flag">'liveCache (Constants)'!$C$55</definedName>
    <definedName name="PegArcDynDP">'liveCache (Constants)'!$I$55</definedName>
    <definedName name="PegArcFix">'liveCache (Constants)'!$G$54</definedName>
    <definedName name="PegArcFix_K_Flag">'liveCache (Constants)'!$E$54</definedName>
    <definedName name="PegArcFix_P_Flag">'liveCache (Constants)'!$C$54</definedName>
    <definedName name="PegArcFixP">'liveCache (Constants)'!$I$54</definedName>
    <definedName name="PegArea">'liveCache (Constants)'!$G$7</definedName>
    <definedName name="PegArea_K_Flag">'liveCache (Constants)'!$E$7</definedName>
    <definedName name="PegArea_P_Flag">'liveCache (Constants)'!$C$7</definedName>
    <definedName name="PegAreaP">'liveCache (Constants)'!$I$7</definedName>
    <definedName name="PegNodeDev">'liveCache (Constants)'!$G$57</definedName>
    <definedName name="PegNodeDev_K_Flag">'liveCache (Constants)'!$E$57</definedName>
    <definedName name="PegNodeDev_P_Flag">'liveCache (Constants)'!$C$57</definedName>
    <definedName name="PegNodeDevP">'liveCache (Constants)'!$I$57</definedName>
    <definedName name="PersIoNodeBestand">'liveCache (Constants)'!$G$25</definedName>
    <definedName name="PersIoNodeBestand_K_Flag">'liveCache (Constants)'!$E$25</definedName>
    <definedName name="PersIoNodeBestand_P_Flag">'liveCache (Constants)'!$C$25</definedName>
    <definedName name="PersIoNodeBestandP">'liveCache (Constants)'!$I$25</definedName>
    <definedName name="PersIoNodeBestellung">'liveCache (Constants)'!$G$29</definedName>
    <definedName name="PersIoNodeBestellung_K_Flag">'liveCache (Constants)'!$E$29</definedName>
    <definedName name="PersIoNodeBestellung_P_Flag">'liveCache (Constants)'!$C$29</definedName>
    <definedName name="PersIoNodeBestellungP">'liveCache (Constants)'!$I$29</definedName>
    <definedName name="PersIoNodeKundeG">'liveCache (Constants)'!$G$27</definedName>
    <definedName name="PersIoNodeKundeG_K_FLag">'liveCache (Constants)'!$E$27</definedName>
    <definedName name="PersIoNodeKundeG_P_Flag">'liveCache (Constants)'!$C$27</definedName>
    <definedName name="PersIoNodeKundeGP">'liveCache (Constants)'!$I$27</definedName>
    <definedName name="PersIoNodeKundeK">'liveCache (Constants)'!$G$26</definedName>
    <definedName name="PersIoNodeKundeK_K_Flag">'liveCache (Constants)'!$E$26</definedName>
    <definedName name="PersIoNodeKundeK_P_Flag">'liveCache (Constants)'!$C$26</definedName>
    <definedName name="PersIoNodeKundeKP">'liveCache (Constants)'!$I$26</definedName>
    <definedName name="PersIoNodeMPA">'liveCache (Constants)'!$G$37</definedName>
    <definedName name="PersIoNodeMPA_K_Flag">'liveCache (Constants)'!$E$37</definedName>
    <definedName name="PersIoNodeMPA_P_Flag">'liveCache (Constants)'!$C$37</definedName>
    <definedName name="PersIoNodeMPAP">'liveCache (Constants)'!$I$37</definedName>
    <definedName name="PersIoNodeProduktionInG">'liveCache (Constants)'!$G$35</definedName>
    <definedName name="PersIoNodeProduktionInG_K_Flag">'liveCache (Constants)'!$E$35</definedName>
    <definedName name="PersIoNodeProduktionInG_P_Flag">'liveCache (Constants)'!$C$35</definedName>
    <definedName name="PersIoNodeProduktionInGP">'liveCache (Constants)'!$I$35</definedName>
    <definedName name="PersIoNodeProduktionInK">'liveCache (Constants)'!$G$33</definedName>
    <definedName name="PersIoNodeProduktionInK_K_Flag">'liveCache (Constants)'!$E$33</definedName>
    <definedName name="PersIoNodeProduktionInK_P_Flag">'liveCache (Constants)'!$C$33</definedName>
    <definedName name="PersIoNodeProduktionInKP">'liveCache (Constants)'!$I$33</definedName>
    <definedName name="PersIoNodeProduktionInM">'liveCache (Constants)'!$G$34</definedName>
    <definedName name="PersIoNodeProduktionInM_K_Flag">'liveCache (Constants)'!$E$34</definedName>
    <definedName name="PersIoNodeProduktionInM_P_Flag">'liveCache (Constants)'!$C$34</definedName>
    <definedName name="PersIoNodeProduktionInMP">'liveCache (Constants)'!$I$34</definedName>
    <definedName name="PersIoNodeProduktionOut">'liveCache (Constants)'!$G$32</definedName>
    <definedName name="PersIoNodeProduktionOut_K_Flag">'liveCache (Constants)'!$E$32</definedName>
    <definedName name="PersIoNodeProduktionOut_P_Flag">'liveCache (Constants)'!$C$32</definedName>
    <definedName name="PersIoNodeProduktionOutP">'liveCache (Constants)'!$I$32</definedName>
    <definedName name="PersIoNodeStorage">'liveCache (Constants)'!$G$38</definedName>
    <definedName name="PersIoNodeStorage_K_Flag">'liveCache (Constants)'!$E$38</definedName>
    <definedName name="PersIoNodeStorage_P_Flag">'liveCache (Constants)'!$C$38</definedName>
    <definedName name="PersIoNodeStorageP">'liveCache (Constants)'!$I$38</definedName>
    <definedName name="PersIoNodeSubstitution">'liveCache (Constants)'!$G$36</definedName>
    <definedName name="PersIoNodeSubstitution_K_Flag">'liveCache (Constants)'!$E$36</definedName>
    <definedName name="PersIoNodeSubstitution_P_Flag">'liveCache (Constants)'!$C$36</definedName>
    <definedName name="PersIoNodeSubstitutionP">'liveCache (Constants)'!$I$36</definedName>
    <definedName name="PersIoNodeTransportIn">'liveCache (Constants)'!$G$30</definedName>
    <definedName name="PersIoNodeTransportIn_K_Flag">'liveCache (Constants)'!$E$30</definedName>
    <definedName name="PersIoNodeTransportIn_P_Flag">'liveCache (Constants)'!$C$30</definedName>
    <definedName name="PersIoNodeTransportInP">'liveCache (Constants)'!$I$30</definedName>
    <definedName name="PersIoNodeTransportOut">'liveCache (Constants)'!$G$31</definedName>
    <definedName name="PersIoNodeTransportOut_K_Flag">'liveCache (Constants)'!$E$31</definedName>
    <definedName name="PersIoNodeTransportOut_P_Flag">'liveCache (Constants)'!$C$31</definedName>
    <definedName name="PersIoNodeTransportOutP">'liveCache (Constants)'!$I$31</definedName>
    <definedName name="PersIoNodeVoll">'liveCache (Constants)'!$G$24</definedName>
    <definedName name="PersIoNodeVoll_K_Flag">'liveCache (Constants)'!$E$24</definedName>
    <definedName name="PersIoNodeVoll_P_Flag">'liveCache (Constants)'!$C$24</definedName>
    <definedName name="PersIoNodeVollP">'liveCache (Constants)'!$I$24</definedName>
    <definedName name="PersIoNodeVorplanung">'liveCache (Constants)'!$G$28</definedName>
    <definedName name="PersIoNodeVorplanung_K_Flag">'liveCache (Constants)'!$E$28</definedName>
    <definedName name="PersIoNodeVorplanung_P_Flag">'liveCache (Constants)'!$C$28</definedName>
    <definedName name="PersIoNodeVorplanungP">'liveCache (Constants)'!$I$28</definedName>
    <definedName name="Persistenz">'liveCache (Constants)'!$G$133</definedName>
    <definedName name="PersModeHead">'liveCache (Constants)'!#REF!</definedName>
    <definedName name="PersModeHead_K_Flag">'liveCache (Constants)'!#REF!</definedName>
    <definedName name="PersModeHead_P_Flag">'liveCache (Constants)'!#REF!</definedName>
    <definedName name="PersModeHeadP">'liveCache (Constants)'!#REF!</definedName>
    <definedName name="PersModeInfo">'liveCache (Constants)'!$G$20</definedName>
    <definedName name="PersModeInfo_K_Flag">'liveCache (Constants)'!$E$20</definedName>
    <definedName name="PersModeInfo_P_Flag">'liveCache (Constants)'!$C$20</definedName>
    <definedName name="PersModeInfoP">'liveCache (Constants)'!$I$20</definedName>
    <definedName name="PersModeItem">'liveCache (Constants)'!#REF!</definedName>
    <definedName name="PersModeItem_K_Flag">'liveCache (Constants)'!#REF!</definedName>
    <definedName name="PersModeItem_P_Flag">'liveCache (Constants)'!#REF!</definedName>
    <definedName name="PersModeItemP">'liveCache (Constants)'!#REF!</definedName>
    <definedName name="PersStorageModeItem">'liveCache (Constants)'!$G$39</definedName>
    <definedName name="PersStorageModeItem_K_Flag">'liveCache (Constants)'!$E$39</definedName>
    <definedName name="PersStorageModeItem_P_Flag">'liveCache (Constants)'!$C$39</definedName>
    <definedName name="PersStorageModeItemP">'liveCache (Constants)'!$I$39</definedName>
    <definedName name="PEveBelegung">'liveCache (Constants)'!$I$69</definedName>
    <definedName name="ProdMatEinzel">'liveCache (Memory)'!$G$88</definedName>
    <definedName name="ProdMatGesamt">'liveCache (Memory)'!$G$89</definedName>
    <definedName name="PropagationArea">'liveCache (Constants)'!$G$76</definedName>
    <definedName name="PropagationArea_K_Flag">'liveCache (Constants)'!$E$76</definedName>
    <definedName name="PropagationArea_P_Flag">'liveCache (Constants)'!$C$76</definedName>
    <definedName name="PropagationAreaP">'liveCache (Constants)'!$I$76</definedName>
    <definedName name="prozFixanteil">'liveCache (Memory)'!$B$81</definedName>
    <definedName name="ProzHardPegKanten" localSheetId="5">'liveCache (Memory)'!$B$42</definedName>
    <definedName name="ProzHardPegKanten">#REF!</definedName>
    <definedName name="ProzSoftPegKanten" localSheetId="5">'liveCache (Memory)'!$B$43</definedName>
    <definedName name="ProzSoftPegKanten">#REF!</definedName>
    <definedName name="PullRegel" localSheetId="6">'liveCache (Constants)'!$G$127</definedName>
    <definedName name="PullRegel_K_Flag" localSheetId="6">'liveCache (Constants)'!$E$127</definedName>
    <definedName name="PullRegel_P_Flag" localSheetId="6">'liveCache (Constants)'!$C$127</definedName>
    <definedName name="PullRegelP">'liveCache (Constants)'!$I$127</definedName>
    <definedName name="PushRegel" localSheetId="6">'liveCache (Constants)'!$G$126</definedName>
    <definedName name="PushRegel_K_Flag" localSheetId="6">'liveCache (Constants)'!$E$126</definedName>
    <definedName name="PushRegel_P_Flag" localSheetId="6">'liveCache (Constants)'!$C$126</definedName>
    <definedName name="PushRegelP">'liveCache (Constants)'!$I$126</definedName>
    <definedName name="q">#REF!</definedName>
    <definedName name="Quest1">#REF!</definedName>
    <definedName name="Quest10">#REF!</definedName>
    <definedName name="Quest10a">#REF!</definedName>
    <definedName name="Quest11">#REF!</definedName>
    <definedName name="Quest12">#REF!</definedName>
    <definedName name="Quest12a">#REF!</definedName>
    <definedName name="Quest13">#REF!</definedName>
    <definedName name="Quest13a">#REF!</definedName>
    <definedName name="Quest14">#REF!</definedName>
    <definedName name="Quest14a">#REF!</definedName>
    <definedName name="Quest15">#REF!</definedName>
    <definedName name="Quest15a">#REF!</definedName>
    <definedName name="Quest16">#REF!</definedName>
    <definedName name="Quest16a">#REF!</definedName>
    <definedName name="Quest16b">#REF!</definedName>
    <definedName name="Quest16c">#REF!</definedName>
    <definedName name="Quest17">#REF!</definedName>
    <definedName name="Quest17a">#REF!</definedName>
    <definedName name="Quest17b">#REF!</definedName>
    <definedName name="Quest17c">#REF!</definedName>
    <definedName name="Quest17d">#REF!</definedName>
    <definedName name="Quest17e">#REF!</definedName>
    <definedName name="Quest18">#REF!</definedName>
    <definedName name="Quest19">#REF!</definedName>
    <definedName name="Quest19a">#REF!</definedName>
    <definedName name="Quest2">#REF!</definedName>
    <definedName name="Quest20">#REF!</definedName>
    <definedName name="Quest20a">#REF!</definedName>
    <definedName name="Quest21">#REF!</definedName>
    <definedName name="Quest21high">#REF!</definedName>
    <definedName name="Quest21low">#REF!</definedName>
    <definedName name="Quest21medium">#REF!</definedName>
    <definedName name="Quest22">#REF!</definedName>
    <definedName name="Quest22high">#REF!</definedName>
    <definedName name="Quest22low">#REF!</definedName>
    <definedName name="Quest22medium">#REF!</definedName>
    <definedName name="Quest23">#REF!</definedName>
    <definedName name="Quest23high">#REF!</definedName>
    <definedName name="Quest23low">#REF!</definedName>
    <definedName name="Quest23medium">#REF!</definedName>
    <definedName name="Quest24high">#REF!</definedName>
    <definedName name="Quest24low">#REF!</definedName>
    <definedName name="Quest24medium">#REF!</definedName>
    <definedName name="Quest25">#REF!</definedName>
    <definedName name="Quest25high">#REF!</definedName>
    <definedName name="Quest2a">#REF!</definedName>
    <definedName name="Quest3">#REF!</definedName>
    <definedName name="Quest30">#REF!</definedName>
    <definedName name="Quest4">#REF!</definedName>
    <definedName name="Quest5">#REF!</definedName>
    <definedName name="Quest6">#REF!</definedName>
    <definedName name="Quest7">#REF!</definedName>
    <definedName name="Quest8">#REF!</definedName>
    <definedName name="Quest9">#REF!</definedName>
    <definedName name="QuestIntegration">#REF!</definedName>
    <definedName name="Quset1">#REF!</definedName>
    <definedName name="Quset17">#REF!</definedName>
    <definedName name="Quset2">#REF!</definedName>
    <definedName name="realLVCMemory">'liveCache (Memory)'!$H$112</definedName>
    <definedName name="Relationskopf" localSheetId="6">'liveCache (Constants)'!$G$122</definedName>
    <definedName name="Relationskopf_K_Flag" localSheetId="6">'liveCache (Constants)'!$E$122</definedName>
    <definedName name="Relationskopf_P_Flag" localSheetId="6">'liveCache (Constants)'!$C$122</definedName>
    <definedName name="RelationskopfP">'liveCache (Constants)'!$I$122</definedName>
    <definedName name="Resource">'liveCache (Constants)'!$G$8</definedName>
    <definedName name="Resource_K_Flag">'liveCache (Constants)'!$E$8</definedName>
    <definedName name="Resource_P_Flag">'liveCache (Constants)'!$C$8</definedName>
    <definedName name="ResourceNet">'liveCache (Constants)'!$G$14</definedName>
    <definedName name="ResourceNet_K_Flag">'liveCache (Constants)'!$E$14</definedName>
    <definedName name="ResourceNet_P_Flag">'liveCache (Constants)'!$C$14</definedName>
    <definedName name="ResourceNetP">'liveCache (Constants)'!$I$14</definedName>
    <definedName name="ResourceP">'liveCache (Constants)'!$I$8</definedName>
    <definedName name="Segment">'liveCache (Constants)'!$G$19</definedName>
    <definedName name="Segment_K_Flag">'liveCache (Constants)'!$E$19</definedName>
    <definedName name="Segment_P_Flag">'liveCache (Constants)'!$C$19</definedName>
    <definedName name="SegmentP">'liveCache (Constants)'!$I$19</definedName>
    <definedName name="Session">'liveCache (Constants)'!$G$130</definedName>
    <definedName name="SetupItem">'liveCache (Constants)'!$G$13</definedName>
    <definedName name="SetupItem_K_Flag">'liveCache (Constants)'!$E$13</definedName>
    <definedName name="SetupItem_P_Flag">'liveCache (Constants)'!$C$13</definedName>
    <definedName name="SetupItemP">'liveCache (Constants)'!$I$13</definedName>
    <definedName name="SetupMatrix">'liveCache (Constants)'!$G$12</definedName>
    <definedName name="SetupMatrix_K_Flag">'liveCache (Constants)'!$E$12</definedName>
    <definedName name="SetupMatrix_P_Flag">'liveCache (Constants)'!$C$12</definedName>
    <definedName name="SetupMatrixP">'liveCache (Constants)'!$I$12</definedName>
    <definedName name="SichZuschlag">'liveCache (Constants)'!$G$134</definedName>
    <definedName name="SNPGesamt">'liveCache (Memory)'!$G$101</definedName>
    <definedName name="SNPPPMEinzel">'liveCache (Memory)'!$G$98</definedName>
    <definedName name="SNPPPMEinzelKopf">'liveCache (Memory)'!$G$97</definedName>
    <definedName name="SNPPPMGesamt">'liveCache (Memory)'!$G$99</definedName>
    <definedName name="SNPRelationskopf" localSheetId="6">'liveCache (Constants)'!$G$125</definedName>
    <definedName name="SNPRelationskopf_K_Flag" localSheetId="6">'liveCache (Constants)'!$E$125</definedName>
    <definedName name="SNPRelationskopf_P_Flag" localSheetId="6">'liveCache (Constants)'!$C$125</definedName>
    <definedName name="SNPRelationskopfP">'liveCache (Constants)'!$I$125</definedName>
    <definedName name="SNPRessourceEinzel">'liveCache (Memory)'!$G$92</definedName>
    <definedName name="SNPRessourceGesamt">'liveCache (Memory)'!$G$93</definedName>
    <definedName name="StartCharactBlock">'liveCache (Constants)'!$G$43</definedName>
    <definedName name="StartCharactBlock_K_Flag">'liveCache (Constants)'!$E$43</definedName>
    <definedName name="StartCharactBlock_P_Flag">'liveCache (Constants)'!$C$43</definedName>
    <definedName name="StartCharactBlockP">'liveCache (Constants)'!$I$43</definedName>
    <definedName name="Storage">'liveCache (Constants)'!$G$15</definedName>
    <definedName name="Storage_K_Flag">'liveCache (Constants)'!$E$15</definedName>
    <definedName name="Storage_P_Flag">'liveCache (Constants)'!$C$15</definedName>
    <definedName name="StorageP">'liveCache (Constants)'!$I$15</definedName>
    <definedName name="Stuetzstelle">'liveCache (Constants)'!#REF!</definedName>
    <definedName name="StuetzstelleP">'liveCache (Constants)'!#REF!</definedName>
    <definedName name="SummeAVOs">'liveCache (Memory)'!$K$8</definedName>
    <definedName name="SummeBeleger">'liveCache (Memory)'!$K$12</definedName>
    <definedName name="SummeBelegungen">'liveCache (Memory)'!$K$40</definedName>
    <definedName name="SummeConstraints">'liveCache (Memory)'!$K$10</definedName>
    <definedName name="SummeIoKnoten">'liveCache (Memory)'!$K$6</definedName>
    <definedName name="SummeModeItems">'liveCache (Memory)'!$K$11</definedName>
    <definedName name="SummeOutKnoten">'liveCache (Memory)'!$K$7</definedName>
    <definedName name="SummeSegmente">'liveCache (Memory)'!$K$9</definedName>
    <definedName name="TimeLineItem">'liveCache (Constants)'!$G$10</definedName>
    <definedName name="TimeLineItem_K_Flag">'liveCache (Constants)'!$E$10</definedName>
    <definedName name="TimeLineItem_P_Flag">'liveCache (Constants)'!$C$10</definedName>
    <definedName name="TimeLineItemP">'liveCache (Constants)'!$I$10</definedName>
    <definedName name="TimeLineObject">'liveCache (Constants)'!$G$9</definedName>
    <definedName name="TimeLineObject_K_Flag">'liveCache (Constants)'!$E$9</definedName>
    <definedName name="TimeLineObject_P_Flag">'liveCache (Constants)'!$C$9</definedName>
    <definedName name="TimeLineObjectP">'liveCache (Constants)'!$I$9</definedName>
    <definedName name="TransMatEinzel">'liveCache (Memory)'!$G$90</definedName>
    <definedName name="TransMatGesamt">'liveCache (Memory)'!$G$91</definedName>
    <definedName name="TransSimHead">'liveCache (Constants)'!$G$72</definedName>
    <definedName name="TransSimHead_K_Flag">'liveCache (Constants)'!$E$72</definedName>
    <definedName name="TransSimHead_P_Flag">'liveCache (Constants)'!$C$72</definedName>
    <definedName name="TransSimHeadP">'liveCache (Constants)'!$I$72</definedName>
    <definedName name="UPRegel" localSheetId="6">'liveCache (Constants)'!$G$123</definedName>
    <definedName name="UpRegel_K_Flag" localSheetId="6">'liveCache (Constants)'!$E$123</definedName>
    <definedName name="UpRegel_P_Flag" localSheetId="6">'liveCache (Constants)'!$C$123</definedName>
    <definedName name="UPRegelP">'liveCache (Constants)'!$I$123</definedName>
    <definedName name="ValuationEntry">'liveCache (Constants)'!$G$45</definedName>
    <definedName name="ValuationEntry_K_Flag">'liveCache (Constants)'!$E$45</definedName>
    <definedName name="ValuationEntry_P_Flag">'liveCache (Constants)'!$C$45</definedName>
    <definedName name="ValuationEntryP">'liveCache (Constants)'!$I$45</definedName>
    <definedName name="VerschiebungsElement" localSheetId="6">'liveCache (Constants)'!$G$116</definedName>
    <definedName name="VerschiebungsElement_K_Flag" localSheetId="6">'liveCache (Constants)'!$E$116</definedName>
    <definedName name="VerschiebungsElement_P_Flag" localSheetId="6">'liveCache (Constants)'!$C$116</definedName>
    <definedName name="VerschiebungsElementP">'liveCache (Constants)'!$I$116</definedName>
    <definedName name="ZeitrasterGesamt">'liveCache (Memory)'!$G$77</definedName>
    <definedName name="Zeitrasterkopf" localSheetId="6">'liveCache (Constants)'!$G$113</definedName>
    <definedName name="Zeitrasterkopf_K_Flag" localSheetId="6">'liveCache (Constants)'!$E$113</definedName>
    <definedName name="Zeitrasterkopf_P_Flag" localSheetId="6">'liveCache (Constants)'!$C$113</definedName>
    <definedName name="ZeitrasterkopfP">'liveCache (Constants)'!$I$113</definedName>
    <definedName name="ZeitreiheEinzelVerbrauch">'liveCache (Memory)'!$G$78</definedName>
    <definedName name="ZeitreihenGesamt">'liveCache (Memory)'!$G$79</definedName>
    <definedName name="Zeitreihenkopf" localSheetId="6">'liveCache (Constants)'!$G$117</definedName>
    <definedName name="Zeitreihenkopf_K_Flag" localSheetId="6">'liveCache (Constants)'!$E$117</definedName>
    <definedName name="Zeitreihenkopf_P_Flag" localSheetId="6">'liveCache (Constants)'!$C$117</definedName>
    <definedName name="ZeitreihenkopfP">'liveCache (Constants)'!$I$117</definedName>
    <definedName name="ZeitreihenlängeA">'liveCache (Memory)'!$B$57</definedName>
    <definedName name="ZeitreihenlängeZ">'liveCache (Memory)'!$B$66</definedName>
    <definedName name="Zeitverschiebungskopf" localSheetId="6">'liveCache (Constants)'!$G$115</definedName>
    <definedName name="ZeitverschiebungsKopfP">'liveCache (Constants)'!$I$115</definedName>
    <definedName name="Zeiverschiebungskopf_K_Flag" localSheetId="6">'liveCache (Constants)'!$E$115</definedName>
    <definedName name="Zeiverschiebungskopf_P_Flag" localSheetId="6">'liveCache (Constants)'!$C$115</definedName>
    <definedName name="ZugGesamt">'liveCache (Memory)'!$K$63</definedName>
  </definedNames>
  <calcPr fullCalcOnLoad="1"/>
</workbook>
</file>

<file path=xl/comments2.xml><?xml version="1.0" encoding="utf-8"?>
<comments xmlns="http://schemas.openxmlformats.org/spreadsheetml/2006/main">
  <authors>
    <author>SAP AG</author>
  </authors>
  <commentList>
    <comment ref="B32" authorId="0">
      <text>
        <r>
          <rPr>
            <b/>
            <sz val="8"/>
            <rFont val="Tahoma"/>
            <family val="0"/>
          </rPr>
          <t>SAP AG:</t>
        </r>
        <r>
          <rPr>
            <sz val="8"/>
            <rFont val="Tahoma"/>
            <family val="0"/>
          </rPr>
          <t xml:space="preserve">
</t>
        </r>
        <r>
          <rPr>
            <b/>
            <sz val="8"/>
            <rFont val="Tahoma"/>
            <family val="2"/>
          </rPr>
          <t>Definition</t>
        </r>
        <r>
          <rPr>
            <sz val="8"/>
            <rFont val="Tahoma"/>
            <family val="0"/>
          </rPr>
          <t xml:space="preserve">
A planned or production order may consist of several operations. Requested is the average number of operations of all planned or production orders. (Information about operations is derived from routings.) In APO routing, information is stored in the PPM (together with BOM information). The same is true of operation steps (activities), alternative resources and parallel capacity requirements. 
</t>
        </r>
        <r>
          <rPr>
            <b/>
            <sz val="8"/>
            <rFont val="Tahoma"/>
            <family val="2"/>
          </rPr>
          <t>Comment</t>
        </r>
        <r>
          <rPr>
            <sz val="8"/>
            <rFont val="Tahoma"/>
            <family val="0"/>
          </rPr>
          <t xml:space="preserve">
For in-house production, the planned order can be converted into a production order or a process order. For external procurement the planned order can be converted into a purchase requisition. A planned order can be used to plan the production of the product requested in a sales order. The production date is based on the date specified in the schedule of the sales order.
</t>
        </r>
      </text>
    </comment>
    <comment ref="B33" authorId="0">
      <text>
        <r>
          <rPr>
            <b/>
            <sz val="8"/>
            <rFont val="Tahoma"/>
            <family val="0"/>
          </rPr>
          <t>SAP AG:</t>
        </r>
        <r>
          <rPr>
            <sz val="8"/>
            <rFont val="Tahoma"/>
            <family val="0"/>
          </rPr>
          <t xml:space="preserve">
Requested is the average number of components per planned or production orders. (Components are input products which are necessary to produce the output of a planned or production order.) Planning relevant are those planned or production orders which are not completely confirmed. This means that the number of planned or production orders in APO may be smaller than the number in the connected OLTP-system. The number of components in an order is derived from a BOM (Bill of Material). In APO the BOM is stored in the so-called PPM (Production Process Model). </t>
        </r>
      </text>
    </comment>
    <comment ref="B35" authorId="0">
      <text>
        <r>
          <rPr>
            <b/>
            <sz val="8"/>
            <rFont val="Tahoma"/>
            <family val="0"/>
          </rPr>
          <t>SAP AG:</t>
        </r>
        <r>
          <rPr>
            <sz val="8"/>
            <rFont val="Tahoma"/>
            <family val="0"/>
          </rPr>
          <t xml:space="preserve">
An operation consists of one or more operation steps (activities). An operation step is for instance a setup, a tear down or a production step. </t>
        </r>
      </text>
    </comment>
    <comment ref="B36" authorId="0">
      <text>
        <r>
          <rPr>
            <b/>
            <sz val="8"/>
            <rFont val="Tahoma"/>
            <family val="0"/>
          </rPr>
          <t>SAP AG:</t>
        </r>
        <r>
          <rPr>
            <sz val="8"/>
            <rFont val="Tahoma"/>
            <family val="0"/>
          </rPr>
          <t xml:space="preserve">
</t>
        </r>
        <r>
          <rPr>
            <b/>
            <sz val="8"/>
            <rFont val="Tahoma"/>
            <family val="2"/>
          </rPr>
          <t>Definition</t>
        </r>
        <r>
          <rPr>
            <sz val="8"/>
            <rFont val="Tahoma"/>
            <family val="0"/>
          </rPr>
          <t xml:space="preserve">
A planned or production order may consist of several operations. Requested is the average number of operations of all planned or production orders. (Information about operations is derived from routings.) In APO routing, information is stored in the PPM (together with BOM information). The same is true of operation steps (activities), alternative resources and parallel capacity requirements. 
</t>
        </r>
        <r>
          <rPr>
            <b/>
            <sz val="8"/>
            <rFont val="Tahoma"/>
            <family val="2"/>
          </rPr>
          <t>Comment</t>
        </r>
        <r>
          <rPr>
            <sz val="8"/>
            <rFont val="Tahoma"/>
            <family val="0"/>
          </rPr>
          <t xml:space="preserve">
For in-house production, the planned order can be converted into a production order or a process order. For external procurement the planned order can be converted into a purchase requisition. A planned order can be used to plan the production of the product requested in a sales order. The production date is based on the date specified in the schedule of the sales order.
</t>
        </r>
      </text>
    </comment>
    <comment ref="B37" authorId="0">
      <text>
        <r>
          <rPr>
            <b/>
            <sz val="8"/>
            <rFont val="Tahoma"/>
            <family val="0"/>
          </rPr>
          <t>SAP AG:</t>
        </r>
        <r>
          <rPr>
            <sz val="8"/>
            <rFont val="Tahoma"/>
            <family val="0"/>
          </rPr>
          <t xml:space="preserve">
Requested is the average number of components per planned or production orders. (Components are input products which are necessary to produce the output of a planned or production order.) Planning relevant are those planned or production orders which are not completely confirmed. This means that the number of planned or production orders in APO may be smaller than the number in the connected OLTP-system. The number of components in an order is derived from a BOM (Bill of Material). In APO the BOM is stored in the so-called PPM (Production Process Model). </t>
        </r>
      </text>
    </comment>
    <comment ref="B39" authorId="0">
      <text>
        <r>
          <rPr>
            <b/>
            <sz val="8"/>
            <rFont val="Tahoma"/>
            <family val="0"/>
          </rPr>
          <t>SAP AG:</t>
        </r>
        <r>
          <rPr>
            <sz val="8"/>
            <rFont val="Tahoma"/>
            <family val="0"/>
          </rPr>
          <t xml:space="preserve">
An operation consists of one or more operation steps (activities). An operation step is for instance a setup, a tear down or a production step. </t>
        </r>
      </text>
    </comment>
  </commentList>
</comments>
</file>

<file path=xl/comments3.xml><?xml version="1.0" encoding="utf-8"?>
<comments xmlns="http://schemas.openxmlformats.org/spreadsheetml/2006/main">
  <authors>
    <author>SAP AG</author>
    <author>D028294</author>
  </authors>
  <commentList>
    <comment ref="B3" authorId="0">
      <text>
        <r>
          <rPr>
            <sz val="8"/>
            <rFont val="Tahoma"/>
            <family val="2"/>
          </rPr>
          <t>Enter the average number of DP user working with interactive planning.</t>
        </r>
        <r>
          <rPr>
            <sz val="10"/>
            <rFont val="Arial"/>
            <family val="2"/>
          </rPr>
          <t xml:space="preserve">
</t>
        </r>
      </text>
    </comment>
    <comment ref="B4" authorId="0">
      <text>
        <r>
          <rPr>
            <sz val="8"/>
            <rFont val="Tahoma"/>
            <family val="2"/>
          </rPr>
          <t>Enter the average number of SNP user working with interactive planning.</t>
        </r>
      </text>
    </comment>
    <comment ref="B5" authorId="0">
      <text>
        <r>
          <rPr>
            <sz val="8"/>
            <rFont val="Tahoma"/>
            <family val="2"/>
          </rPr>
          <t>Enter the average number of PPDS user working with the planning table.</t>
        </r>
        <r>
          <rPr>
            <sz val="10"/>
            <rFont val="Arial"/>
            <family val="2"/>
          </rPr>
          <t xml:space="preserve">
</t>
        </r>
      </text>
    </comment>
    <comment ref="B6" authorId="1">
      <text>
        <r>
          <rPr>
            <sz val="8"/>
            <rFont val="Tahoma"/>
            <family val="2"/>
          </rPr>
          <t xml:space="preserve">Enter the average number of ATP-User </t>
        </r>
      </text>
    </comment>
    <comment ref="C2" authorId="1">
      <text>
        <r>
          <rPr>
            <b/>
            <sz val="8"/>
            <rFont val="Tahoma"/>
            <family val="0"/>
          </rPr>
          <t xml:space="preserve">An occasional user is logged on and consumes system resources. We assume that the occasional user accesses the system from time to time, fitting the work profile of an information user or an executive.
</t>
        </r>
        <r>
          <rPr>
            <sz val="8"/>
            <rFont val="Tahoma"/>
            <family val="0"/>
          </rPr>
          <t xml:space="preserve">
</t>
        </r>
      </text>
    </comment>
    <comment ref="D2" authorId="1">
      <text>
        <r>
          <rPr>
            <b/>
            <sz val="8"/>
            <rFont val="Tahoma"/>
            <family val="0"/>
          </rPr>
          <t xml:space="preserve">We assume that this user definition represents the work profile of usual planner. </t>
        </r>
        <r>
          <rPr>
            <sz val="8"/>
            <rFont val="Tahoma"/>
            <family val="0"/>
          </rPr>
          <t xml:space="preserve">
</t>
        </r>
      </text>
    </comment>
    <comment ref="E2" authorId="1">
      <text>
        <r>
          <rPr>
            <b/>
            <sz val="8"/>
            <rFont val="Tahoma"/>
            <family val="0"/>
          </rPr>
          <t xml:space="preserve">We assume that this user definition represents the work profile of users which work intensivly with the interactive planning tables/grids. </t>
        </r>
        <r>
          <rPr>
            <sz val="8"/>
            <rFont val="Tahoma"/>
            <family val="0"/>
          </rPr>
          <t xml:space="preserve">
</t>
        </r>
      </text>
    </comment>
  </commentList>
</comments>
</file>

<file path=xl/comments4.xml><?xml version="1.0" encoding="utf-8"?>
<comments xmlns="http://schemas.openxmlformats.org/spreadsheetml/2006/main">
  <authors>
    <author>D028294</author>
  </authors>
  <commentList>
    <comment ref="B4" authorId="0">
      <text>
        <r>
          <rPr>
            <b/>
            <sz val="8"/>
            <rFont val="Tahoma"/>
            <family val="0"/>
          </rPr>
          <t>Durchsatz:
57600 CC/h auf 2200 SAPS Maschine</t>
        </r>
        <r>
          <rPr>
            <sz val="8"/>
            <rFont val="Tahoma"/>
            <family val="0"/>
          </rPr>
          <t xml:space="preserve">
</t>
        </r>
      </text>
    </comment>
    <comment ref="B16" authorId="0">
      <text>
        <r>
          <rPr>
            <b/>
            <sz val="8"/>
            <rFont val="Tahoma"/>
            <family val="2"/>
          </rPr>
          <t>Throughput:
4000 rule-based ATP-Request/h with 2200 SAPS machine</t>
        </r>
        <r>
          <rPr>
            <sz val="8"/>
            <rFont val="Tahoma"/>
            <family val="0"/>
          </rPr>
          <t xml:space="preserve">
</t>
        </r>
      </text>
    </comment>
    <comment ref="B22" authorId="0">
      <text>
        <r>
          <rPr>
            <b/>
            <sz val="8"/>
            <rFont val="Tahoma"/>
            <family val="0"/>
          </rPr>
          <t>40 SAPS pro User
20% DB Last
40% APP Last
40% LVC last</t>
        </r>
        <r>
          <rPr>
            <sz val="8"/>
            <rFont val="Tahoma"/>
            <family val="0"/>
          </rPr>
          <t xml:space="preserve">
</t>
        </r>
      </text>
    </comment>
    <comment ref="H22" authorId="0">
      <text>
        <r>
          <rPr>
            <b/>
            <sz val="8"/>
            <rFont val="Tahoma"/>
            <family val="0"/>
          </rPr>
          <t>DP User: 2*6 SAPS
Wir nehmen an, daß ein DP-APO User die doppelte Last wie ein R/3-PP-User erzeugt</t>
        </r>
        <r>
          <rPr>
            <sz val="8"/>
            <rFont val="Tahoma"/>
            <family val="0"/>
          </rPr>
          <t xml:space="preserve">
</t>
        </r>
      </text>
    </comment>
    <comment ref="E24" authorId="0">
      <text>
        <r>
          <rPr>
            <b/>
            <sz val="8"/>
            <rFont val="Tahoma"/>
            <family val="0"/>
          </rPr>
          <t>LVC Memory-Sizing is not user-based. LVC Memory-Sizing depends on the quantity-structure.</t>
        </r>
        <r>
          <rPr>
            <sz val="8"/>
            <rFont val="Tahoma"/>
            <family val="0"/>
          </rPr>
          <t xml:space="preserve">
</t>
        </r>
      </text>
    </comment>
    <comment ref="B37" authorId="0">
      <text>
        <r>
          <rPr>
            <b/>
            <sz val="8"/>
            <rFont val="Tahoma"/>
            <family val="0"/>
          </rPr>
          <t>40 SAPS pro User
20% DB Last
40% APP Last
40% LVC last</t>
        </r>
        <r>
          <rPr>
            <sz val="8"/>
            <rFont val="Tahoma"/>
            <family val="0"/>
          </rPr>
          <t xml:space="preserve">
</t>
        </r>
      </text>
    </comment>
    <comment ref="E37" authorId="0">
      <text>
        <r>
          <rPr>
            <b/>
            <sz val="8"/>
            <rFont val="Tahoma"/>
            <family val="0"/>
          </rPr>
          <t>Formula:
Memory = m_a * all_users (+ m_b)
m_a = 1,5 MByte
Offset is used onyl once
m_b = 500 MByte</t>
        </r>
      </text>
    </comment>
    <comment ref="H37" authorId="0">
      <text>
        <r>
          <rPr>
            <b/>
            <sz val="8"/>
            <rFont val="Tahoma"/>
            <family val="0"/>
          </rPr>
          <t>DP User: 2*6 SAPS
Wir nehmen an, daß ein DP-APO User die doppelte Last wie ein R/3-PP-User erzeugt</t>
        </r>
        <r>
          <rPr>
            <sz val="8"/>
            <rFont val="Tahoma"/>
            <family val="0"/>
          </rPr>
          <t xml:space="preserve">
</t>
        </r>
      </text>
    </comment>
    <comment ref="E38" authorId="0">
      <text>
        <r>
          <rPr>
            <b/>
            <sz val="8"/>
            <rFont val="Tahoma"/>
            <family val="0"/>
          </rPr>
          <t xml:space="preserve">Formula:
Memory = m_a * all_users (+ m_b)
m_a = 10,4 MByte
Offset is used only once
m_b = 715 MByte
</t>
        </r>
      </text>
    </comment>
    <comment ref="E39" authorId="0">
      <text>
        <r>
          <rPr>
            <b/>
            <sz val="8"/>
            <rFont val="Tahoma"/>
            <family val="0"/>
          </rPr>
          <t>LVC Memory-Sizing is not user-based. LVC Memory-Sizing depends on the quantity-structure.</t>
        </r>
        <r>
          <rPr>
            <sz val="8"/>
            <rFont val="Tahoma"/>
            <family val="0"/>
          </rPr>
          <t xml:space="preserve">
</t>
        </r>
      </text>
    </comment>
    <comment ref="E55" authorId="0">
      <text>
        <r>
          <rPr>
            <b/>
            <sz val="8"/>
            <rFont val="Tahoma"/>
            <family val="0"/>
          </rPr>
          <t>Memory Requirement LVC:
Memory DP + Memory SNP/PPDS
+ Memory ATP + Safety + MemoryManagment</t>
        </r>
        <r>
          <rPr>
            <sz val="8"/>
            <rFont val="Tahoma"/>
            <family val="0"/>
          </rPr>
          <t xml:space="preserve">
</t>
        </r>
      </text>
    </comment>
    <comment ref="H26" authorId="0">
      <text>
        <r>
          <rPr>
            <b/>
            <sz val="8"/>
            <rFont val="Tahoma"/>
            <family val="0"/>
          </rPr>
          <t>DP User: 2*6 SAPS
Wir nehmen an, daß ein DP-APO User die doppelte Last wie ein R/3-PP-User erzeugt</t>
        </r>
        <r>
          <rPr>
            <sz val="8"/>
            <rFont val="Tahoma"/>
            <family val="0"/>
          </rPr>
          <t xml:space="preserve">
</t>
        </r>
      </text>
    </comment>
    <comment ref="E28" authorId="0">
      <text>
        <r>
          <rPr>
            <b/>
            <sz val="8"/>
            <rFont val="Tahoma"/>
            <family val="0"/>
          </rPr>
          <t>LVC Memory-Sizing is not user-based. LVC Memory-Sizing depends on the quantity-structure.</t>
        </r>
        <r>
          <rPr>
            <sz val="8"/>
            <rFont val="Tahoma"/>
            <family val="0"/>
          </rPr>
          <t xml:space="preserve">
</t>
        </r>
      </text>
    </comment>
    <comment ref="H30" authorId="0">
      <text>
        <r>
          <rPr>
            <b/>
            <sz val="8"/>
            <rFont val="Tahoma"/>
            <family val="0"/>
          </rPr>
          <t>DP User: 2*6 SAPS
Wir nehmen an, daß ein DP-APO User die doppelte Last wie ein R/3-PP-User erzeugt</t>
        </r>
        <r>
          <rPr>
            <sz val="8"/>
            <rFont val="Tahoma"/>
            <family val="0"/>
          </rPr>
          <t xml:space="preserve">
</t>
        </r>
      </text>
    </comment>
    <comment ref="E32" authorId="0">
      <text>
        <r>
          <rPr>
            <b/>
            <sz val="8"/>
            <rFont val="Tahoma"/>
            <family val="0"/>
          </rPr>
          <t>LVC Memory-Sizing is not user-based. LVC Memory-Sizing depends on the quantity-structure.</t>
        </r>
        <r>
          <rPr>
            <sz val="8"/>
            <rFont val="Tahoma"/>
            <family val="0"/>
          </rPr>
          <t xml:space="preserve">
</t>
        </r>
      </text>
    </comment>
    <comment ref="B23" authorId="0">
      <text>
        <r>
          <rPr>
            <b/>
            <sz val="8"/>
            <rFont val="Tahoma"/>
            <family val="0"/>
          </rPr>
          <t>40 SAPS pro User
20% DB Last
40% APP Last
40% LVC last</t>
        </r>
        <r>
          <rPr>
            <sz val="8"/>
            <rFont val="Tahoma"/>
            <family val="0"/>
          </rPr>
          <t xml:space="preserve">
</t>
        </r>
      </text>
    </comment>
    <comment ref="B24" authorId="0">
      <text>
        <r>
          <rPr>
            <b/>
            <sz val="8"/>
            <rFont val="Tahoma"/>
            <family val="0"/>
          </rPr>
          <t>40 SAPS pro User
20% DB Last
40% APP Last
40% LVC last</t>
        </r>
        <r>
          <rPr>
            <sz val="8"/>
            <rFont val="Tahoma"/>
            <family val="0"/>
          </rPr>
          <t xml:space="preserve">
</t>
        </r>
      </text>
    </comment>
    <comment ref="E22" authorId="0">
      <text>
        <r>
          <rPr>
            <b/>
            <sz val="8"/>
            <rFont val="Tahoma"/>
            <family val="0"/>
          </rPr>
          <t>Formula:
memory = m_a * all_users + m_b
m_a = 1,5 MByte
m_b = 300 MByte</t>
        </r>
        <r>
          <rPr>
            <sz val="8"/>
            <rFont val="Tahoma"/>
            <family val="0"/>
          </rPr>
          <t xml:space="preserve">
</t>
        </r>
      </text>
    </comment>
    <comment ref="E23" authorId="0">
      <text>
        <r>
          <rPr>
            <b/>
            <sz val="8"/>
            <rFont val="Tahoma"/>
            <family val="0"/>
          </rPr>
          <t>Formula:
memory = m_a * all_users + m_b
m_a = 1 MByte
m_b = 420 MByte</t>
        </r>
        <r>
          <rPr>
            <sz val="8"/>
            <rFont val="Tahoma"/>
            <family val="0"/>
          </rPr>
          <t xml:space="preserve">
</t>
        </r>
      </text>
    </comment>
    <comment ref="B26" authorId="0">
      <text>
        <r>
          <rPr>
            <b/>
            <sz val="8"/>
            <rFont val="Tahoma"/>
            <family val="0"/>
          </rPr>
          <t>40 SAPS pro User
20% DB Last
40% APP Last
40% LVC last</t>
        </r>
        <r>
          <rPr>
            <sz val="8"/>
            <rFont val="Tahoma"/>
            <family val="0"/>
          </rPr>
          <t xml:space="preserve">
</t>
        </r>
      </text>
    </comment>
    <comment ref="B27" authorId="0">
      <text>
        <r>
          <rPr>
            <b/>
            <sz val="8"/>
            <rFont val="Tahoma"/>
            <family val="0"/>
          </rPr>
          <t>40 SAPS pro User
20% DB Last
40% APP Last
40% LVC last</t>
        </r>
        <r>
          <rPr>
            <sz val="8"/>
            <rFont val="Tahoma"/>
            <family val="0"/>
          </rPr>
          <t xml:space="preserve">
</t>
        </r>
      </text>
    </comment>
    <comment ref="B28" authorId="0">
      <text>
        <r>
          <rPr>
            <b/>
            <sz val="8"/>
            <rFont val="Tahoma"/>
            <family val="0"/>
          </rPr>
          <t>40 SAPS pro User
20% DB Last
40% APP Last
40% LVC last</t>
        </r>
        <r>
          <rPr>
            <sz val="8"/>
            <rFont val="Tahoma"/>
            <family val="0"/>
          </rPr>
          <t xml:space="preserve">
</t>
        </r>
      </text>
    </comment>
    <comment ref="B30" authorId="0">
      <text>
        <r>
          <rPr>
            <b/>
            <sz val="8"/>
            <rFont val="Tahoma"/>
            <family val="0"/>
          </rPr>
          <t>40 SAPS pro User
20% DB Last
40% APP Last
40% LVC last</t>
        </r>
        <r>
          <rPr>
            <sz val="8"/>
            <rFont val="Tahoma"/>
            <family val="0"/>
          </rPr>
          <t xml:space="preserve">
</t>
        </r>
      </text>
    </comment>
    <comment ref="B31" authorId="0">
      <text>
        <r>
          <rPr>
            <b/>
            <sz val="8"/>
            <rFont val="Tahoma"/>
            <family val="0"/>
          </rPr>
          <t>40 SAPS pro User
20% DB Last
40% APP Last
40% LVC last</t>
        </r>
        <r>
          <rPr>
            <sz val="8"/>
            <rFont val="Tahoma"/>
            <family val="0"/>
          </rPr>
          <t xml:space="preserve">
</t>
        </r>
      </text>
    </comment>
    <comment ref="B32" authorId="0">
      <text>
        <r>
          <rPr>
            <b/>
            <sz val="8"/>
            <rFont val="Tahoma"/>
            <family val="0"/>
          </rPr>
          <t>40 SAPS pro User
20% DB Last
40% APP Last
40% LVC last</t>
        </r>
        <r>
          <rPr>
            <sz val="8"/>
            <rFont val="Tahoma"/>
            <family val="0"/>
          </rPr>
          <t xml:space="preserve">
</t>
        </r>
      </text>
    </comment>
    <comment ref="E26" authorId="0">
      <text>
        <r>
          <rPr>
            <b/>
            <sz val="8"/>
            <rFont val="Tahoma"/>
            <family val="0"/>
          </rPr>
          <t>Formula:
memory = m_a * all_users + m_b
m_a = 1,5 MByte
m_b = 300 MByte</t>
        </r>
        <r>
          <rPr>
            <sz val="8"/>
            <rFont val="Tahoma"/>
            <family val="0"/>
          </rPr>
          <t xml:space="preserve">
</t>
        </r>
      </text>
    </comment>
    <comment ref="E27" authorId="0">
      <text>
        <r>
          <rPr>
            <b/>
            <sz val="8"/>
            <rFont val="Tahoma"/>
            <family val="0"/>
          </rPr>
          <t>Formula:
memory = m_a * all_users + m_b
m_a = 1 MByte
m_b = 420 MByte</t>
        </r>
        <r>
          <rPr>
            <sz val="8"/>
            <rFont val="Tahoma"/>
            <family val="0"/>
          </rPr>
          <t xml:space="preserve">
</t>
        </r>
      </text>
    </comment>
    <comment ref="E30" authorId="0">
      <text>
        <r>
          <rPr>
            <b/>
            <sz val="8"/>
            <rFont val="Tahoma"/>
            <family val="0"/>
          </rPr>
          <t>Formula:
memory = m_a * all_users + m_b
m_a = 1,5 MByte
m_b = 300 MByte</t>
        </r>
        <r>
          <rPr>
            <sz val="8"/>
            <rFont val="Tahoma"/>
            <family val="0"/>
          </rPr>
          <t xml:space="preserve">
</t>
        </r>
      </text>
    </comment>
    <comment ref="E31" authorId="0">
      <text>
        <r>
          <rPr>
            <b/>
            <sz val="8"/>
            <rFont val="Tahoma"/>
            <family val="0"/>
          </rPr>
          <t>Formula:
memory = m_a * all_users + m_b
m_a = 1 MByte
m_b = 420 MByte</t>
        </r>
        <r>
          <rPr>
            <sz val="8"/>
            <rFont val="Tahoma"/>
            <family val="0"/>
          </rPr>
          <t xml:space="preserve">
</t>
        </r>
      </text>
    </comment>
    <comment ref="B38" authorId="0">
      <text>
        <r>
          <rPr>
            <b/>
            <sz val="8"/>
            <rFont val="Tahoma"/>
            <family val="0"/>
          </rPr>
          <t>40 SAPS pro User
20% DB Last
40% APP Last
40% LVC last</t>
        </r>
        <r>
          <rPr>
            <sz val="8"/>
            <rFont val="Tahoma"/>
            <family val="0"/>
          </rPr>
          <t xml:space="preserve">
</t>
        </r>
      </text>
    </comment>
    <comment ref="B39" authorId="0">
      <text>
        <r>
          <rPr>
            <b/>
            <sz val="8"/>
            <rFont val="Tahoma"/>
            <family val="0"/>
          </rPr>
          <t>40 SAPS pro User
20% DB Last
40% APP Last
40% LVC last</t>
        </r>
        <r>
          <rPr>
            <sz val="8"/>
            <rFont val="Tahoma"/>
            <family val="0"/>
          </rPr>
          <t xml:space="preserve">
</t>
        </r>
      </text>
    </comment>
    <comment ref="B58" authorId="0">
      <text>
        <r>
          <rPr>
            <b/>
            <sz val="8"/>
            <rFont val="Tahoma"/>
            <family val="2"/>
          </rPr>
          <t>Multiply the Netto memory requirements for liveCache with 3 plus 3 GByte</t>
        </r>
        <r>
          <rPr>
            <sz val="8"/>
            <rFont val="Tahoma"/>
            <family val="0"/>
          </rPr>
          <t xml:space="preserve">
</t>
        </r>
      </text>
    </comment>
    <comment ref="B10" authorId="0">
      <text>
        <r>
          <rPr>
            <b/>
            <sz val="8"/>
            <rFont val="Tahoma"/>
            <family val="0"/>
          </rPr>
          <t>Durchsatz:
250.239 Aufträge/h auf 2000 SAPS Maschine</t>
        </r>
        <r>
          <rPr>
            <sz val="8"/>
            <rFont val="Tahoma"/>
            <family val="0"/>
          </rPr>
          <t xml:space="preserve">
</t>
        </r>
      </text>
    </comment>
    <comment ref="B11" authorId="0">
      <text>
        <r>
          <rPr>
            <b/>
            <sz val="8"/>
            <rFont val="Tahoma"/>
            <family val="0"/>
          </rPr>
          <t>Durchsatz:
250.239 Aufträge/h auf 2000 SAPS Maschine</t>
        </r>
        <r>
          <rPr>
            <sz val="8"/>
            <rFont val="Tahoma"/>
            <family val="0"/>
          </rPr>
          <t xml:space="preserve">
</t>
        </r>
      </text>
    </comment>
    <comment ref="B12" authorId="0">
      <text>
        <r>
          <rPr>
            <b/>
            <sz val="8"/>
            <rFont val="Tahoma"/>
            <family val="0"/>
          </rPr>
          <t>Durchsatz:
250.239 Aufträge/h auf 2000 SAPS Maschine</t>
        </r>
        <r>
          <rPr>
            <sz val="8"/>
            <rFont val="Tahoma"/>
            <family val="0"/>
          </rPr>
          <t xml:space="preserve">
</t>
        </r>
      </text>
    </comment>
    <comment ref="B42" authorId="0">
      <text>
        <r>
          <rPr>
            <b/>
            <sz val="8"/>
            <rFont val="Tahoma"/>
            <family val="0"/>
          </rPr>
          <t>40 SAPS pro User
20% DB Last
40% APP Last
40% LVC last</t>
        </r>
        <r>
          <rPr>
            <sz val="8"/>
            <rFont val="Tahoma"/>
            <family val="0"/>
          </rPr>
          <t xml:space="preserve">
</t>
        </r>
      </text>
    </comment>
    <comment ref="E42" authorId="0">
      <text>
        <r>
          <rPr>
            <b/>
            <sz val="8"/>
            <rFont val="Tahoma"/>
            <family val="0"/>
          </rPr>
          <t>Formula:
Memory = m_a * all_users (+ m_b)
m_a = 1,5 MByte
Offset is used onyl once
m_b = 500 MByte</t>
        </r>
      </text>
    </comment>
    <comment ref="H42" authorId="0">
      <text>
        <r>
          <rPr>
            <b/>
            <sz val="8"/>
            <rFont val="Tahoma"/>
            <family val="0"/>
          </rPr>
          <t>SNP User: 2*6 SAPS
Wir nehmen an, daß ein DP-APO User die doppelte Last wie ein R/3-PP-User erzeugt</t>
        </r>
        <r>
          <rPr>
            <sz val="8"/>
            <rFont val="Tahoma"/>
            <family val="0"/>
          </rPr>
          <t xml:space="preserve">
</t>
        </r>
      </text>
    </comment>
    <comment ref="B43" authorId="0">
      <text>
        <r>
          <rPr>
            <b/>
            <sz val="8"/>
            <rFont val="Tahoma"/>
            <family val="0"/>
          </rPr>
          <t>40 SAPS pro User
20% DB Last
40% APP Last
40% LVC last</t>
        </r>
        <r>
          <rPr>
            <sz val="8"/>
            <rFont val="Tahoma"/>
            <family val="0"/>
          </rPr>
          <t xml:space="preserve">
</t>
        </r>
      </text>
    </comment>
    <comment ref="E43" authorId="0">
      <text>
        <r>
          <rPr>
            <b/>
            <sz val="8"/>
            <rFont val="Tahoma"/>
            <family val="0"/>
          </rPr>
          <t xml:space="preserve">Formula:
Memory = m_a * all_users (+ m_b)
m_a = 10,4 MByte
Offset is used only once
m_b = 715 MByte
</t>
        </r>
        <r>
          <rPr>
            <sz val="8"/>
            <rFont val="Tahoma"/>
            <family val="0"/>
          </rPr>
          <t xml:space="preserve">
</t>
        </r>
      </text>
    </comment>
    <comment ref="B44" authorId="0">
      <text>
        <r>
          <rPr>
            <b/>
            <sz val="8"/>
            <rFont val="Tahoma"/>
            <family val="0"/>
          </rPr>
          <t>40 SAPS pro User
20% DB Last
40% APP Last
40% LVC last</t>
        </r>
        <r>
          <rPr>
            <sz val="8"/>
            <rFont val="Tahoma"/>
            <family val="0"/>
          </rPr>
          <t xml:space="preserve">
</t>
        </r>
      </text>
    </comment>
    <comment ref="E44" authorId="0">
      <text>
        <r>
          <rPr>
            <b/>
            <sz val="8"/>
            <rFont val="Tahoma"/>
            <family val="0"/>
          </rPr>
          <t>LVC Memory-Sizing is not user-based. LVC Memory-Sizing depends on the quantity-structure.</t>
        </r>
        <r>
          <rPr>
            <sz val="8"/>
            <rFont val="Tahoma"/>
            <family val="0"/>
          </rPr>
          <t xml:space="preserve">
</t>
        </r>
      </text>
    </comment>
    <comment ref="B47" authorId="0">
      <text>
        <r>
          <rPr>
            <b/>
            <sz val="8"/>
            <rFont val="Tahoma"/>
            <family val="0"/>
          </rPr>
          <t>40 SAPS pro User
20% DB Last
40% APP Last
40% LVC last</t>
        </r>
        <r>
          <rPr>
            <sz val="8"/>
            <rFont val="Tahoma"/>
            <family val="0"/>
          </rPr>
          <t xml:space="preserve">
</t>
        </r>
      </text>
    </comment>
    <comment ref="E47" authorId="0">
      <text>
        <r>
          <rPr>
            <b/>
            <sz val="8"/>
            <rFont val="Tahoma"/>
            <family val="0"/>
          </rPr>
          <t>Formula:
Memory = m_a * all_users (+ m_b)
m_a = 1,5 MByte
Offset is used onyl once
m_b = 500 MByte</t>
        </r>
        <r>
          <rPr>
            <sz val="8"/>
            <rFont val="Tahoma"/>
            <family val="0"/>
          </rPr>
          <t xml:space="preserve">
</t>
        </r>
      </text>
    </comment>
    <comment ref="H47" authorId="0">
      <text>
        <r>
          <rPr>
            <b/>
            <sz val="8"/>
            <rFont val="Tahoma"/>
            <family val="0"/>
          </rPr>
          <t>PPDS User: 3*6 SAPS
Wir nehmen an, daß ein DP-APO User die doppelte Last wie ein R/3-PP-User erzeugt</t>
        </r>
        <r>
          <rPr>
            <sz val="8"/>
            <rFont val="Tahoma"/>
            <family val="0"/>
          </rPr>
          <t xml:space="preserve">
</t>
        </r>
      </text>
    </comment>
    <comment ref="B48" authorId="0">
      <text>
        <r>
          <rPr>
            <b/>
            <sz val="8"/>
            <rFont val="Tahoma"/>
            <family val="0"/>
          </rPr>
          <t>40 SAPS pro User
20% DB Last
40% APP Last
40% LVC last</t>
        </r>
        <r>
          <rPr>
            <sz val="8"/>
            <rFont val="Tahoma"/>
            <family val="0"/>
          </rPr>
          <t xml:space="preserve">
</t>
        </r>
      </text>
    </comment>
    <comment ref="E48" authorId="0">
      <text>
        <r>
          <rPr>
            <b/>
            <sz val="8"/>
            <rFont val="Tahoma"/>
            <family val="0"/>
          </rPr>
          <t>Formula:
Memory = m_a * all_users (+ m_b)
m_a = 10,4 MByte
Offset is used only once
m_b = 715 MByte</t>
        </r>
        <r>
          <rPr>
            <sz val="8"/>
            <rFont val="Tahoma"/>
            <family val="0"/>
          </rPr>
          <t xml:space="preserve">
</t>
        </r>
      </text>
    </comment>
    <comment ref="B49" authorId="0">
      <text>
        <r>
          <rPr>
            <b/>
            <sz val="8"/>
            <rFont val="Tahoma"/>
            <family val="0"/>
          </rPr>
          <t>40 SAPS pro User
20% DB Last
40% APP Last
40% LVC last</t>
        </r>
        <r>
          <rPr>
            <sz val="8"/>
            <rFont val="Tahoma"/>
            <family val="0"/>
          </rPr>
          <t xml:space="preserve">
</t>
        </r>
      </text>
    </comment>
    <comment ref="E49" authorId="0">
      <text>
        <r>
          <rPr>
            <b/>
            <sz val="8"/>
            <rFont val="Tahoma"/>
            <family val="0"/>
          </rPr>
          <t>LVC Memory-Sizing is not user-based. LVC Memory-Sizing depends on the quantity-structure.</t>
        </r>
        <r>
          <rPr>
            <sz val="8"/>
            <rFont val="Tahoma"/>
            <family val="0"/>
          </rPr>
          <t xml:space="preserve">
</t>
        </r>
      </text>
    </comment>
    <comment ref="E4" authorId="0">
      <text>
        <r>
          <rPr>
            <b/>
            <sz val="8"/>
            <rFont val="Tahoma"/>
            <family val="0"/>
          </rPr>
          <t>100 Mbyte for each 250 SAPS</t>
        </r>
        <r>
          <rPr>
            <sz val="8"/>
            <rFont val="Tahoma"/>
            <family val="0"/>
          </rPr>
          <t xml:space="preserve">
</t>
        </r>
      </text>
    </comment>
    <comment ref="E5" authorId="0">
      <text>
        <r>
          <rPr>
            <b/>
            <sz val="8"/>
            <rFont val="Tahoma"/>
            <family val="0"/>
          </rPr>
          <t>100 Mbyte for each 250 SAPS</t>
        </r>
        <r>
          <rPr>
            <sz val="8"/>
            <rFont val="Tahoma"/>
            <family val="0"/>
          </rPr>
          <t xml:space="preserve">
</t>
        </r>
      </text>
    </comment>
    <comment ref="E10" authorId="0">
      <text>
        <r>
          <rPr>
            <b/>
            <sz val="8"/>
            <rFont val="Tahoma"/>
            <family val="0"/>
          </rPr>
          <t>100 Mbyte for each 250 SAPS</t>
        </r>
        <r>
          <rPr>
            <sz val="8"/>
            <rFont val="Tahoma"/>
            <family val="0"/>
          </rPr>
          <t xml:space="preserve">
</t>
        </r>
      </text>
    </comment>
    <comment ref="E11" authorId="0">
      <text>
        <r>
          <rPr>
            <b/>
            <sz val="8"/>
            <rFont val="Tahoma"/>
            <family val="0"/>
          </rPr>
          <t>100 Mbyte for each 250 SAPS</t>
        </r>
        <r>
          <rPr>
            <sz val="8"/>
            <rFont val="Tahoma"/>
            <family val="0"/>
          </rPr>
          <t xml:space="preserve">
</t>
        </r>
      </text>
    </comment>
  </commentList>
</comments>
</file>

<file path=xl/comments7.xml><?xml version="1.0" encoding="utf-8"?>
<comments xmlns="http://schemas.openxmlformats.org/spreadsheetml/2006/main">
  <authors>
    <author>SAP AG</author>
  </authors>
  <commentList>
    <comment ref="B64" authorId="0">
      <text>
        <r>
          <rPr>
            <b/>
            <sz val="8"/>
            <rFont val="Tahoma"/>
            <family val="0"/>
          </rPr>
          <t>SAP AG:</t>
        </r>
        <r>
          <rPr>
            <sz val="8"/>
            <rFont val="Tahoma"/>
            <family val="0"/>
          </rPr>
          <t xml:space="preserve">
</t>
        </r>
        <r>
          <rPr>
            <sz val="10"/>
            <rFont val="Tahoma"/>
            <family val="2"/>
          </rPr>
          <t>Maximale Anzahl von bytes für Events, d.h. nur Nutzlast.</t>
        </r>
      </text>
    </comment>
    <comment ref="B65" authorId="0">
      <text>
        <r>
          <rPr>
            <b/>
            <sz val="8"/>
            <rFont val="Tahoma"/>
            <family val="0"/>
          </rPr>
          <t>SAP AG:</t>
        </r>
        <r>
          <rPr>
            <sz val="8"/>
            <rFont val="Tahoma"/>
            <family val="0"/>
          </rPr>
          <t xml:space="preserve">
</t>
        </r>
        <r>
          <rPr>
            <sz val="8"/>
            <rFont val="Tahoma"/>
            <family val="2"/>
          </rPr>
          <t>Eine Belegung einer Aktivität, ihr Bedarf innerhalb des Blocks (Leaf).</t>
        </r>
      </text>
    </comment>
    <comment ref="B63" authorId="0">
      <text>
        <r>
          <rPr>
            <b/>
            <sz val="8"/>
            <rFont val="Tahoma"/>
            <family val="0"/>
          </rPr>
          <t>SAP AG:</t>
        </r>
        <r>
          <rPr>
            <sz val="8"/>
            <rFont val="Tahoma"/>
            <family val="0"/>
          </rPr>
          <t xml:space="preserve">
Ist VarObj, mit EVE_MAX_INDEX_SIZE vielen items</t>
        </r>
      </text>
    </comment>
    <comment ref="B62" authorId="0">
      <text>
        <r>
          <rPr>
            <b/>
            <sz val="8"/>
            <rFont val="Tahoma"/>
            <family val="0"/>
          </rPr>
          <t>SAP AG:</t>
        </r>
        <r>
          <rPr>
            <sz val="8"/>
            <rFont val="Tahoma"/>
            <family val="0"/>
          </rPr>
          <t xml:space="preserve">
Item in Index Node
besteht aus Termin und Subknoten Oid</t>
        </r>
      </text>
    </comment>
    <comment ref="B67" authorId="0">
      <text>
        <r>
          <rPr>
            <b/>
            <sz val="8"/>
            <rFont val="Tahoma"/>
            <family val="0"/>
          </rPr>
          <t>SAP AG:</t>
        </r>
        <r>
          <rPr>
            <sz val="8"/>
            <rFont val="Tahoma"/>
            <family val="0"/>
          </rPr>
          <t xml:space="preserve">
Berechnung des Speicheraufwand durch den Index pro Belegung.
</t>
        </r>
      </text>
    </comment>
    <comment ref="B66" authorId="0">
      <text>
        <r>
          <rPr>
            <b/>
            <sz val="8"/>
            <rFont val="Tahoma"/>
            <family val="0"/>
          </rPr>
          <t>SAP AG:</t>
        </r>
        <r>
          <rPr>
            <sz val="8"/>
            <rFont val="Tahoma"/>
            <family val="0"/>
          </rPr>
          <t xml:space="preserve">
Anzahl der Belegungen pro Leaf</t>
        </r>
      </text>
    </comment>
    <comment ref="B61" authorId="0">
      <text>
        <r>
          <rPr>
            <b/>
            <sz val="8"/>
            <rFont val="Tahoma"/>
            <family val="0"/>
          </rPr>
          <t>SAP AG:</t>
        </r>
        <r>
          <rPr>
            <sz val="8"/>
            <rFont val="Tahoma"/>
            <family val="0"/>
          </rPr>
          <t xml:space="preserve">
</t>
        </r>
        <r>
          <rPr>
            <sz val="10"/>
            <rFont val="Tahoma"/>
            <family val="2"/>
          </rPr>
          <t>Anzahl der Items in einem Indexknoten</t>
        </r>
      </text>
    </comment>
  </commentList>
</comments>
</file>

<file path=xl/sharedStrings.xml><?xml version="1.0" encoding="utf-8"?>
<sst xmlns="http://schemas.openxmlformats.org/spreadsheetml/2006/main" count="911" uniqueCount="505">
  <si>
    <t>Bytes</t>
  </si>
  <si>
    <t xml:space="preserve">1. </t>
  </si>
  <si>
    <t>Constraint</t>
  </si>
  <si>
    <t>1.1</t>
  </si>
  <si>
    <t>1.2</t>
  </si>
  <si>
    <t>1.3</t>
  </si>
  <si>
    <t>1.4</t>
  </si>
  <si>
    <t>Szenario:</t>
  </si>
  <si>
    <t>Anzahl Ressourcen</t>
  </si>
  <si>
    <t>Speicherbedarfsberechnung</t>
  </si>
  <si>
    <t>ATP</t>
  </si>
  <si>
    <t>Persistenz im liveCache pro Objekt</t>
  </si>
  <si>
    <t>2.2</t>
  </si>
  <si>
    <t>Speicherplatz pro Session</t>
  </si>
  <si>
    <t>Sonstiges</t>
  </si>
  <si>
    <t>GBytes</t>
  </si>
  <si>
    <t>2.1</t>
  </si>
  <si>
    <t>Anzahl Sessions</t>
  </si>
  <si>
    <t>Summe:</t>
  </si>
  <si>
    <t>liveCache-Management-System: konstanter Teil</t>
  </si>
  <si>
    <t>%</t>
  </si>
  <si>
    <t>liveCache-Management-System - konst.</t>
  </si>
  <si>
    <t>liveCache-Management-System - variab.</t>
  </si>
  <si>
    <t>Speichernetto-Bedarf Objekte</t>
  </si>
  <si>
    <t>Stück</t>
  </si>
  <si>
    <t>Anzahl Einträge pro Block</t>
  </si>
  <si>
    <t>Reserve / Sicherheitszuschlag</t>
  </si>
  <si>
    <t>Speicherbedarf pro OID</t>
  </si>
  <si>
    <t>2.3</t>
  </si>
  <si>
    <t>2.4</t>
  </si>
  <si>
    <t>2.5</t>
  </si>
  <si>
    <t>2.6</t>
  </si>
  <si>
    <t>Anzahl Kundenaufträge</t>
  </si>
  <si>
    <t>Anzahl Plan- und Fertigungsaufträge</t>
  </si>
  <si>
    <t>Anzahl Komponenten pro Prod.Auftrag</t>
  </si>
  <si>
    <t>Anzahl Arbeitsvorgänge pro Prod.Auftrag</t>
  </si>
  <si>
    <t>Anzahl Transportaufträge</t>
  </si>
  <si>
    <t>Anzahl Materialien pro Transportauftrag</t>
  </si>
  <si>
    <t>Anzahl Bestellungen / BANFen</t>
  </si>
  <si>
    <t>Anzahl Constraints pro AVO</t>
  </si>
  <si>
    <t>Anzahl Zeitstrahle</t>
  </si>
  <si>
    <t>Anzahl Zeitscheiben pro Zeitstrahl</t>
  </si>
  <si>
    <t>Bestellungen</t>
  </si>
  <si>
    <t>Kundenaufträge</t>
  </si>
  <si>
    <t>Transportaufträge</t>
  </si>
  <si>
    <t>Produktionsaufträge</t>
  </si>
  <si>
    <t>Zeitstrahle</t>
  </si>
  <si>
    <t>Hard-Pegging</t>
  </si>
  <si>
    <t>Soft-Pegging</t>
  </si>
  <si>
    <t>PegAreas</t>
  </si>
  <si>
    <t>PegArea</t>
  </si>
  <si>
    <t>Zeitscheiben</t>
  </si>
  <si>
    <t>Summe APS-Objekte</t>
  </si>
  <si>
    <t>Summe ATP-Objekte</t>
  </si>
  <si>
    <t>Speicherplatz Sessions</t>
  </si>
  <si>
    <t>Anzahl PegAreas ( = Material/Lokation-Kombinaten)</t>
  </si>
  <si>
    <t>ATP-Anker -Objekt</t>
  </si>
  <si>
    <t>Zeile im CSVO-Objekt (in VarObject)</t>
  </si>
  <si>
    <t>ATPTmAx-Handle</t>
  </si>
  <si>
    <t>Bestands-Zeitreihen-Block</t>
  </si>
  <si>
    <t>Zugänge</t>
  </si>
  <si>
    <t>Durchschnittlicher Speicherbedarf pro Eintrag</t>
  </si>
  <si>
    <t>Kopf-Elemente für Block-Arrays</t>
  </si>
  <si>
    <t>Zeitreihenblock für Zugänge</t>
  </si>
  <si>
    <t>Abgänge</t>
  </si>
  <si>
    <t>Zeitreihenblock für Abgänge</t>
  </si>
  <si>
    <t>Anzahl ATP-Anker</t>
  </si>
  <si>
    <t>ATP-Anker</t>
  </si>
  <si>
    <t>Zeitreihen für Lagerbestände</t>
  </si>
  <si>
    <t>TmAx-Handles</t>
  </si>
  <si>
    <t>Zeitreihen für Zugänge</t>
  </si>
  <si>
    <t>Zeitreihen für Abgänge</t>
  </si>
  <si>
    <t>A</t>
  </si>
  <si>
    <t>B</t>
  </si>
  <si>
    <t>C</t>
  </si>
  <si>
    <t>=</t>
  </si>
  <si>
    <t>liveCache-Management</t>
  </si>
  <si>
    <t>ATP-Daten</t>
  </si>
  <si>
    <t>Anzahl Lagerbestände</t>
  </si>
  <si>
    <t>Lagerbestände</t>
  </si>
  <si>
    <t>CSVO-Objekte Abgänge</t>
  </si>
  <si>
    <t>Durchschnittliche Anzahl Kategorien Abgänge</t>
  </si>
  <si>
    <t>Durchschnittliche Anzahl Chargen Abgänge</t>
  </si>
  <si>
    <t>CSVO Zeilen Abgänge</t>
  </si>
  <si>
    <t>Abgänge pro Material</t>
  </si>
  <si>
    <t>Zugänge pro Material</t>
  </si>
  <si>
    <t>Zeitreiheneinträge</t>
  </si>
  <si>
    <t>Minimum</t>
  </si>
  <si>
    <t>Mittlere Zeitreihenlänge Abgänge (Blöcke)</t>
  </si>
  <si>
    <t>Max. CSVO Größe</t>
  </si>
  <si>
    <t>Durchschnittliche Anzahl Lagerorte Abgänge</t>
  </si>
  <si>
    <t>Durchschnittliche Anzahl Kategorien Zugänge</t>
  </si>
  <si>
    <t>Durchschnittliche Anzahl Lagerorte Zugänge</t>
  </si>
  <si>
    <t>Durchschnittliche Anzahl Chargen Zugänge</t>
  </si>
  <si>
    <t>Mittlere Zeitreihenlänge Zugänge (Blöcke)</t>
  </si>
  <si>
    <t>CSVO Zeilen Zugänge</t>
  </si>
  <si>
    <t>CSVO-Objekte Zugänge</t>
  </si>
  <si>
    <t>Mittlere Zeitreihenlänge (Tage) für Abgänge</t>
  </si>
  <si>
    <t>Mittlere Zeitreihenlänge (Tage) für Zugänge</t>
  </si>
  <si>
    <t>Nur für SAP-internen Gebrauch</t>
  </si>
  <si>
    <r>
      <t xml:space="preserve">Nur die </t>
    </r>
    <r>
      <rPr>
        <b/>
        <sz val="12"/>
        <color indexed="13"/>
        <rFont val="Arial"/>
        <family val="2"/>
      </rPr>
      <t>gelb</t>
    </r>
    <r>
      <rPr>
        <b/>
        <sz val="12"/>
        <color indexed="32"/>
        <rFont val="Arial"/>
        <family val="2"/>
      </rPr>
      <t xml:space="preserve"> - markierten Felder sind Eingabefelder:</t>
    </r>
  </si>
  <si>
    <t>Auftragsdaten</t>
  </si>
  <si>
    <t>Stammdaten</t>
  </si>
  <si>
    <t>Bucket</t>
  </si>
  <si>
    <t>CharacteristicsLineObject</t>
  </si>
  <si>
    <t>SetupMatrix</t>
  </si>
  <si>
    <t>SetupItem</t>
  </si>
  <si>
    <t>ResourceNet</t>
  </si>
  <si>
    <t>Merkmale</t>
  </si>
  <si>
    <t>ValuationEntry</t>
  </si>
  <si>
    <t>ConstraintEntry</t>
  </si>
  <si>
    <t>Order</t>
  </si>
  <si>
    <t>Sonstige Objekte</t>
  </si>
  <si>
    <t>Keyed Object</t>
  </si>
  <si>
    <t>Persistent Object</t>
  </si>
  <si>
    <t>Ohne Persistenz und Schlüssel</t>
  </si>
  <si>
    <t>Mit Persistenz und Schlüssel</t>
  </si>
  <si>
    <t>2.7</t>
  </si>
  <si>
    <t>Speicherbedarf pro Guid22</t>
  </si>
  <si>
    <t>Resource</t>
  </si>
  <si>
    <t>TimeLineObject</t>
  </si>
  <si>
    <t>TimeLineItem</t>
  </si>
  <si>
    <t>2.8</t>
  </si>
  <si>
    <t>PropagationArea</t>
  </si>
  <si>
    <t>2.</t>
  </si>
  <si>
    <t xml:space="preserve">3. </t>
  </si>
  <si>
    <t>3.1</t>
  </si>
  <si>
    <t>3.2</t>
  </si>
  <si>
    <t>3.3</t>
  </si>
  <si>
    <t>3.4</t>
  </si>
  <si>
    <t>3.5</t>
  </si>
  <si>
    <t>3.6</t>
  </si>
  <si>
    <t>3.7</t>
  </si>
  <si>
    <t>3.8</t>
  </si>
  <si>
    <t xml:space="preserve">Speicherbedarf der APS-Objekte </t>
  </si>
  <si>
    <t xml:space="preserve">Speicherbedarf der ATP-Objekte </t>
  </si>
  <si>
    <t>Anzahl Positionen pro Bestandsobjekt</t>
  </si>
  <si>
    <t>Gigabyte:</t>
  </si>
  <si>
    <t>1. APS-Daten</t>
  </si>
  <si>
    <t>1.1 Stammdaten</t>
  </si>
  <si>
    <t>1.2 Auftragsdaten</t>
  </si>
  <si>
    <t>1.3 Sonstige Daten</t>
  </si>
  <si>
    <t>Anz. AVOs (Prod.aufträge)</t>
  </si>
  <si>
    <t>Anz. Constraints (Prod.aufträge)</t>
  </si>
  <si>
    <t>Anz. ModeItems (Prod.aufträge)</t>
  </si>
  <si>
    <t>Anz. Beleger (Prod.aufträge)</t>
  </si>
  <si>
    <t>Gesamtzahl Orders</t>
  </si>
  <si>
    <t>Gesamtzahl Segmente</t>
  </si>
  <si>
    <t>Gesamtzahl ModeItems</t>
  </si>
  <si>
    <t>Gesamtzahl Constraints</t>
  </si>
  <si>
    <t>Zusatzinformationen</t>
  </si>
  <si>
    <t>Anzahl</t>
  </si>
  <si>
    <t>Sicherheitszuschlag (in % des Speicherbedarfs aller Objekte)</t>
  </si>
  <si>
    <t>Anteil Ressourcen mit Merkmalen (in % aller Ressourcen)</t>
  </si>
  <si>
    <t>Anzahl der Bewertungen pro Merkmalsressource</t>
  </si>
  <si>
    <t>Anteil fixierter Peggingkanten (in % der I/O-Knoten)</t>
  </si>
  <si>
    <t>Anteil I/O-Knoten mit Merkmalen (in % aller Zu- und Abgänge)</t>
  </si>
  <si>
    <t>Anz. Input-Knoten (Prod.aufträge)</t>
  </si>
  <si>
    <t>Anz. Output-Knoten (Prod.aufträge)</t>
  </si>
  <si>
    <t>liveCache-Management-Syst.: variabler Teil (% d. Gesamt-Netto-Speicherb.)</t>
  </si>
  <si>
    <t>Gesamtzahl ConstraintEntries</t>
  </si>
  <si>
    <t>Gesamtzahl ValuationEntries</t>
  </si>
  <si>
    <t>Anzahl der Merkmale pro I/O-Knoten</t>
  </si>
  <si>
    <t>Anzahl der Anforderungen pro Merkmal</t>
  </si>
  <si>
    <t>Anfangsgröße eines OmsVarObjects</t>
  </si>
  <si>
    <t>Anzahl Modi pro Aktivität</t>
  </si>
  <si>
    <t>Anzahl Kapazitätsbedarfe pro Modus</t>
  </si>
  <si>
    <t>Anzahl Arbeitsschritte (Aktivitäten) pro AVO</t>
  </si>
  <si>
    <t>Anz. Aktivitäten (Prod.aufträge)</t>
  </si>
  <si>
    <t>Anteil Soft-Pegging-Beziehungen</t>
  </si>
  <si>
    <t>Gesamtzahl Abgänge</t>
  </si>
  <si>
    <t>Gesamtzahl Zugänge</t>
  </si>
  <si>
    <t>Anzahl Produkt-Lokation-Kombinationen</t>
  </si>
  <si>
    <t>Anzahl SNP-Aufträge</t>
  </si>
  <si>
    <t>Vorplanungsaufträge</t>
  </si>
  <si>
    <t>SNP-Aufträge</t>
  </si>
  <si>
    <t>Durchschn. Zugänge pro Material</t>
  </si>
  <si>
    <t>Activity</t>
  </si>
  <si>
    <t>3.9</t>
  </si>
  <si>
    <t>zus. Persistenz im liveCache pro keyed Objekt</t>
  </si>
  <si>
    <t>Anzahl kleiner Einteilungen pro Bestellung/BANF</t>
  </si>
  <si>
    <t>Anzahl kleiner Einteilungen pro Kundenauftrag</t>
  </si>
  <si>
    <t>Anzahl großer Einteilungen pro Kundenauftrag</t>
  </si>
  <si>
    <t>Gesamtzahl InputNodes Kundenauftrag (klein)</t>
  </si>
  <si>
    <t>Gesamtzahl OutputNodes Bestand</t>
  </si>
  <si>
    <t>Gesamtzahl OutputNodes Bestellung</t>
  </si>
  <si>
    <t>Gesamtzahl InputNodes Transportauftrag</t>
  </si>
  <si>
    <t>Gesamtzahl OutputNodes Transportauftrag</t>
  </si>
  <si>
    <t>Gesamtzahl OutputNodes Produktionsauftrag</t>
  </si>
  <si>
    <t>Gesamtzahl InputNodes Produktionsauftrag (Klein)</t>
  </si>
  <si>
    <t>Gesamtzahl InputNodes Produktionsauftrag (mittel)</t>
  </si>
  <si>
    <t>Gesamtzahl InputNodes Produktionsauftrag (groß)</t>
  </si>
  <si>
    <t>Gesamtzahl OutputNodes MPA</t>
  </si>
  <si>
    <t>Gesamtzahl InputNodes Kundenauftrag (groß)</t>
  </si>
  <si>
    <t>Anzahl Einteilungen pro SNP-Auftrag</t>
  </si>
  <si>
    <t>Anzahl Forecast-/Vorplanungsaufträge</t>
  </si>
  <si>
    <t>Anzahl Einteilungen pro Forecast-/Vorplanungsauftrag</t>
  </si>
  <si>
    <t>Gesamtzahl OutputNodes SNP</t>
  </si>
  <si>
    <t>Gesamtzahl OutputNodes Forecast/Vorplanung</t>
  </si>
  <si>
    <t>Gesamtzahl Inputknoten</t>
  </si>
  <si>
    <t>Gesamtzahl Outputknoten</t>
  </si>
  <si>
    <t>Gesamtzahl InputNodes SUA</t>
  </si>
  <si>
    <t>Gesamtzahl OutputNodes SUA</t>
  </si>
  <si>
    <t>ATP berücksichtigen? (1 = ja, 0 = nein)</t>
  </si>
  <si>
    <t>Temporäre Mengenbelegung</t>
  </si>
  <si>
    <t>Delta-Anker-Objekt ATPAPSVPL</t>
  </si>
  <si>
    <t>Delta-Anker-Objekt ALL</t>
  </si>
  <si>
    <t>APS-Deltasatz</t>
  </si>
  <si>
    <t>ATP-Deltasatz</t>
  </si>
  <si>
    <t>ALL-Deltasatz</t>
  </si>
  <si>
    <t>VPL-Deltasatz</t>
  </si>
  <si>
    <t>Blockgröße Delta</t>
  </si>
  <si>
    <t>Elemente</t>
  </si>
  <si>
    <t>Block-Array APS Block</t>
  </si>
  <si>
    <t>Block-Array ATP Block</t>
  </si>
  <si>
    <t>Block-Array ALL Block</t>
  </si>
  <si>
    <t>Block-Array VPL Block</t>
  </si>
  <si>
    <t>Admin-Anker-Objekt</t>
  </si>
  <si>
    <t>Block-Array Admin Block</t>
  </si>
  <si>
    <t>2.9</t>
  </si>
  <si>
    <t>Allgemeines</t>
  </si>
  <si>
    <t>Block-Array Kopf</t>
  </si>
  <si>
    <t>Block-Array Block Verwaltungsinfo</t>
  </si>
  <si>
    <t>Anzahl Merkmalskombinationen</t>
  </si>
  <si>
    <t>Anzahl Aggregate</t>
  </si>
  <si>
    <t>Anzahl Produkt-Transportbeziehungen</t>
  </si>
  <si>
    <t>Anzahl PPM</t>
  </si>
  <si>
    <t>Anzahl Komponenten pro PPM (im Durchschnitt)</t>
  </si>
  <si>
    <t>Anzahl Ressourcen pro PPM (im Durchschnitt)</t>
  </si>
  <si>
    <t>3,</t>
  </si>
  <si>
    <t xml:space="preserve">Speicherbedarf der SNP/DP-Objekte </t>
  </si>
  <si>
    <t>Zeitrasterkopf</t>
  </si>
  <si>
    <t>Bucketdefinition</t>
  </si>
  <si>
    <t>Zeitverschiebungskopf</t>
  </si>
  <si>
    <t>Verschiebungselement</t>
  </si>
  <si>
    <t>Zeitreihenkopf</t>
  </si>
  <si>
    <t>Kennzahlschlüssel</t>
  </si>
  <si>
    <t>Kennzahlbeschreibung</t>
  </si>
  <si>
    <t>Einfacher Wert</t>
  </si>
  <si>
    <t>fixierbarer Wert</t>
  </si>
  <si>
    <t>Relationskopf</t>
  </si>
  <si>
    <t>UP-Regel</t>
  </si>
  <si>
    <t>DOWN-Regel</t>
  </si>
  <si>
    <t>SNPRelationskopf</t>
  </si>
  <si>
    <t>PushRegel</t>
  </si>
  <si>
    <t>PullRegel</t>
  </si>
  <si>
    <t>3.10</t>
  </si>
  <si>
    <t>3.11</t>
  </si>
  <si>
    <t>3.12</t>
  </si>
  <si>
    <t>3.13</t>
  </si>
  <si>
    <t>3.14</t>
  </si>
  <si>
    <t>3.15</t>
  </si>
  <si>
    <t>Anzahl Zeitraster</t>
  </si>
  <si>
    <t>Anzahl Buckets</t>
  </si>
  <si>
    <t>Anzahl Kennzahlen</t>
  </si>
  <si>
    <t>proz. Anteil fixierbare Kennzahlen</t>
  </si>
  <si>
    <t>durchschnittl Anzahl Merkmalskombinationen pro Aggregat</t>
  </si>
  <si>
    <t>Anzahl Aktivitäten  pro PPM (im Durchschnitt)</t>
  </si>
  <si>
    <t>DP</t>
  </si>
  <si>
    <t>SNP-Netz</t>
  </si>
  <si>
    <t>alle Zeitraster</t>
  </si>
  <si>
    <t>eine BasisZeitreihe</t>
  </si>
  <si>
    <t>alle Basiszeitreihen</t>
  </si>
  <si>
    <t>einzelnes Aggregat</t>
  </si>
  <si>
    <t>alle Aggregate</t>
  </si>
  <si>
    <t>eine Produkt-Material-Kombination</t>
  </si>
  <si>
    <t>alle Produkt-Material-Kombinationen</t>
  </si>
  <si>
    <t>eine Transport-Material-Kombination</t>
  </si>
  <si>
    <t>alle Transport-Material-Kombinationen</t>
  </si>
  <si>
    <t>eine Ressouce</t>
  </si>
  <si>
    <t>alle Ressourcen</t>
  </si>
  <si>
    <t>Aktivität pro PPM</t>
  </si>
  <si>
    <t>Komponente pro PPM</t>
  </si>
  <si>
    <t>Ressource pro PPM</t>
  </si>
  <si>
    <t>ein PPM(Kopf)</t>
  </si>
  <si>
    <t>ein PPM(Gesamt)</t>
  </si>
  <si>
    <t>alle PPM</t>
  </si>
  <si>
    <t>Summe SNP-Objekte</t>
  </si>
  <si>
    <t>Summe DP-Objekte</t>
  </si>
  <si>
    <t>DP berücksichtigen? (1 = ja, 0 = nein)</t>
  </si>
  <si>
    <t>PersIoNodeVoll</t>
  </si>
  <si>
    <t>PersIoNodeBestand</t>
  </si>
  <si>
    <t>PersIoNodeKundeK</t>
  </si>
  <si>
    <t>PersIoNodeKundeG</t>
  </si>
  <si>
    <t>PersIoNodeVorplanung</t>
  </si>
  <si>
    <t>PersIoNodeBestellung</t>
  </si>
  <si>
    <t>PersIoNodeTransportIn</t>
  </si>
  <si>
    <t>PersIoNodeTransportOut</t>
  </si>
  <si>
    <t>PersIoNodeProduktionOut</t>
  </si>
  <si>
    <t>PersIoNodeProduktionInK</t>
  </si>
  <si>
    <t>PersIoNodeProduktionInM</t>
  </si>
  <si>
    <t>PersIoNodeProduktionInG</t>
  </si>
  <si>
    <t>PersIoNodeSubstitution</t>
  </si>
  <si>
    <t>PersIoNodeMPA</t>
  </si>
  <si>
    <t>PersIoNodeStorage</t>
  </si>
  <si>
    <t>I/O-Knoten</t>
  </si>
  <si>
    <t>CharactBlock</t>
  </si>
  <si>
    <t>StartCharactBlock</t>
  </si>
  <si>
    <t>IPPE</t>
  </si>
  <si>
    <t>IPPELocator</t>
  </si>
  <si>
    <t>IPPEHead</t>
  </si>
  <si>
    <t>IPPEStation</t>
  </si>
  <si>
    <t>Pegging</t>
  </si>
  <si>
    <t>PegArcFix</t>
  </si>
  <si>
    <t>PegArcDynD</t>
  </si>
  <si>
    <t>PegArcDynC</t>
  </si>
  <si>
    <t>PegNodeDev</t>
  </si>
  <si>
    <t>Event-Vektor</t>
  </si>
  <si>
    <t>EveTreeRoot</t>
  </si>
  <si>
    <t>EVE_MAX_INDEX_SIZE</t>
  </si>
  <si>
    <t>EVE_MAX_LEAF_SIZE</t>
  </si>
  <si>
    <t>NetChanger</t>
  </si>
  <si>
    <t>TransSimHead</t>
  </si>
  <si>
    <t>MultiLevelAtpOrderContainer</t>
  </si>
  <si>
    <t>Campaign</t>
  </si>
  <si>
    <t>PersModeInfo</t>
  </si>
  <si>
    <t>Anteil Ressourcen mit Bucket-Planung (in % aller Ressourcen)</t>
  </si>
  <si>
    <t>Anzahl der Tages-Buckets pro Bucket-Ressource</t>
  </si>
  <si>
    <t>Buckets</t>
  </si>
  <si>
    <t>100</t>
  </si>
  <si>
    <t>Storage</t>
  </si>
  <si>
    <t>Storages</t>
  </si>
  <si>
    <t>PersStorageModeItem</t>
  </si>
  <si>
    <t>Anzahl Storage-Knoten pro Aktivität</t>
  </si>
  <si>
    <t>Anteil Storage-Ressourcen  (in % aller Ressourcen)</t>
  </si>
  <si>
    <t>Gesamtzahl StorageNodes Produktionsauftrag</t>
  </si>
  <si>
    <t>Gesamtzahl Storageknoten</t>
  </si>
  <si>
    <t>EveSpeicherProBelegung</t>
  </si>
  <si>
    <t>Gesamtzahl Belegungen</t>
  </si>
  <si>
    <t>Ressourcen</t>
  </si>
  <si>
    <t>Bedarf einer Belegung</t>
  </si>
  <si>
    <t>EveIndexItemPersist</t>
  </si>
  <si>
    <t>IndexNode</t>
  </si>
  <si>
    <t>Overhead Belegung</t>
  </si>
  <si>
    <t>Belegungen per block</t>
  </si>
  <si>
    <t xml:space="preserve">Größe des Header (40) und Follow Up Link (8 byte) eines OmsVarObjects </t>
  </si>
  <si>
    <t xml:space="preserve">Customer / Scenario / Date : </t>
  </si>
  <si>
    <t>If you cannot enter some of the following data please leave corresponding fields blank; we then will insert "reasonable" data</t>
  </si>
  <si>
    <t xml:space="preserve">Quantity structure-based Sizing </t>
  </si>
  <si>
    <t>Demand Planning</t>
  </si>
  <si>
    <t>This application component allows you to forecast market demand for your company's products.</t>
  </si>
  <si>
    <t>Master Data</t>
  </si>
  <si>
    <t>1</t>
  </si>
  <si>
    <t>Total number of characteristic combinations</t>
  </si>
  <si>
    <t>2</t>
  </si>
  <si>
    <t>Total number of key figures</t>
  </si>
  <si>
    <t>2a</t>
  </si>
  <si>
    <t>Number of key figures in liveCache ( in % )</t>
  </si>
  <si>
    <t>3</t>
  </si>
  <si>
    <t>Total number of periods in planning horizon</t>
  </si>
  <si>
    <t>4</t>
  </si>
  <si>
    <t>Total number of periods in historical horizon</t>
  </si>
  <si>
    <t>5</t>
  </si>
  <si>
    <t>6</t>
  </si>
  <si>
    <t>Retention period for data records in InfoCube</t>
  </si>
  <si>
    <t>7</t>
  </si>
  <si>
    <t>Characteristic combinations relevant for planning run in % of Question 1 above</t>
  </si>
  <si>
    <t>8</t>
  </si>
  <si>
    <t>SNP &amp; PP/DS</t>
  </si>
  <si>
    <t xml:space="preserve">This application component enables you to determine sourcing, production plans, distribution plans, and purchasing plans. </t>
  </si>
  <si>
    <t>Total number of warehouse stocks</t>
  </si>
  <si>
    <t>Total number of product-location combinations</t>
  </si>
  <si>
    <t>Number of product-location combinations with planning-relevant characteristics (as a percentage of the number entered under 9 above)</t>
  </si>
  <si>
    <t>Total number of resources, i.e. work center, production lines, tools to be planned in APO</t>
  </si>
  <si>
    <t>Transactional Data</t>
  </si>
  <si>
    <t>12</t>
  </si>
  <si>
    <t>Average number of sales orders used for planning</t>
  </si>
  <si>
    <t xml:space="preserve">Average number of delivery schedules per sales order </t>
  </si>
  <si>
    <t>13</t>
  </si>
  <si>
    <t>Average number of planning relevant purchase orders or purchase requisitions</t>
  </si>
  <si>
    <t>13a</t>
  </si>
  <si>
    <t xml:space="preserve">Average number of delivery schedules per purchase order or purchase requisition </t>
  </si>
  <si>
    <t>14</t>
  </si>
  <si>
    <t>Average number of transfer orders used for planning</t>
  </si>
  <si>
    <t>14a</t>
  </si>
  <si>
    <t>Average number of products (materials) per transfer order</t>
  </si>
  <si>
    <t>Average number of forecast orders used for planning</t>
  </si>
  <si>
    <t>15a</t>
  </si>
  <si>
    <t>Average number of schedule lines per forecast order</t>
  </si>
  <si>
    <t xml:space="preserve">SNP Average number of planning relevant planned orders </t>
  </si>
  <si>
    <t>16a</t>
  </si>
  <si>
    <t>SNP Average number of components per manufacturing order</t>
  </si>
  <si>
    <t xml:space="preserve">SNP Average number of operations per manufacturing order  </t>
  </si>
  <si>
    <t xml:space="preserve">SNP Average number of operation steps (activities) per operation  </t>
  </si>
  <si>
    <t>PP/DS Average number of planning relevant planned orders and manufacturing orders</t>
  </si>
  <si>
    <t>17a</t>
  </si>
  <si>
    <t>PP/DS Average number of components per manufacturing order</t>
  </si>
  <si>
    <t>17b</t>
  </si>
  <si>
    <t xml:space="preserve">PP/DS Average number of operations per manufacturing order  </t>
  </si>
  <si>
    <t>17c</t>
  </si>
  <si>
    <t xml:space="preserve">PP/DS Average number of operation steps (activities) per operation  </t>
  </si>
  <si>
    <t>18</t>
  </si>
  <si>
    <t>Average number of planning version</t>
  </si>
  <si>
    <t>19</t>
  </si>
  <si>
    <t xml:space="preserve">SNP: Average number of orders planned by one heuristic planning run </t>
  </si>
  <si>
    <t xml:space="preserve">SNP: Average duration of one planning run  </t>
  </si>
  <si>
    <t>20</t>
  </si>
  <si>
    <t>PP/DS: Average number of orders planned by one heuristic planning run</t>
  </si>
  <si>
    <t>20a</t>
  </si>
  <si>
    <t>PP/DS: Average duration of one planning run</t>
  </si>
  <si>
    <t>Integration</t>
  </si>
  <si>
    <t>Typical values (medium size)</t>
  </si>
  <si>
    <t>Number of manufacturing orders transfered from external system to APO per hour</t>
  </si>
  <si>
    <t>Number of sales orders  transfered from external system to APO per hour</t>
  </si>
  <si>
    <t>Number of purchase requistions transfered from external system to APO per hour</t>
  </si>
  <si>
    <t>Customer</t>
  </si>
  <si>
    <t>User-based Sizing</t>
  </si>
  <si>
    <t>22</t>
  </si>
  <si>
    <t>Number of users in DP</t>
  </si>
  <si>
    <t>Number of users in SNP</t>
  </si>
  <si>
    <t>Number of users in PP/DS</t>
  </si>
  <si>
    <t>25</t>
  </si>
  <si>
    <t xml:space="preserve">Number of ATP User </t>
  </si>
  <si>
    <t>Total number of users (don't fill out):</t>
  </si>
  <si>
    <t>high</t>
  </si>
  <si>
    <t>medium</t>
  </si>
  <si>
    <t>low</t>
  </si>
  <si>
    <t>Harddisk:</t>
  </si>
  <si>
    <t>GB</t>
  </si>
  <si>
    <t>Facttable</t>
  </si>
  <si>
    <t>Dimensions + Indices:</t>
  </si>
  <si>
    <t>Database util.</t>
  </si>
  <si>
    <t>CPU DB:</t>
  </si>
  <si>
    <t>SAPS (4.6B@66%)</t>
  </si>
  <si>
    <t>Memory (DB):</t>
  </si>
  <si>
    <t>MB</t>
  </si>
  <si>
    <t>Application util.</t>
  </si>
  <si>
    <t>CPU APP:</t>
  </si>
  <si>
    <t>Memory (APP):</t>
  </si>
  <si>
    <t>liveCache util.</t>
  </si>
  <si>
    <t>CPU LVC:</t>
  </si>
  <si>
    <t>Memory (LVC):</t>
  </si>
  <si>
    <t>SAPS (4.6B@33%)</t>
  </si>
  <si>
    <t>(200 SAPS)</t>
  </si>
  <si>
    <t>User-Based Sizing</t>
  </si>
  <si>
    <t>SAPS per DP High User:</t>
  </si>
  <si>
    <t>SAPS per SNP High User:</t>
  </si>
  <si>
    <t>Total Requirements</t>
  </si>
  <si>
    <t>CPU OPT:</t>
  </si>
  <si>
    <t>Memory (OPT):</t>
  </si>
  <si>
    <t>Harddisk DB:</t>
  </si>
  <si>
    <t>Harddisk LVC:</t>
  </si>
  <si>
    <t>(Manufacturing orders)</t>
  </si>
  <si>
    <t>(Sales orders)</t>
  </si>
  <si>
    <t>(Purchase requisitions)</t>
  </si>
  <si>
    <t>Manufacturing Orders/h</t>
  </si>
  <si>
    <t>Sales Orders/h</t>
  </si>
  <si>
    <t>Purchase requisitions/h</t>
  </si>
  <si>
    <t>50%</t>
  </si>
  <si>
    <t>SNP-Netz berücksichtigen? (1 = ja, 0 = nein)</t>
  </si>
  <si>
    <t>SNP / PPDS</t>
  </si>
  <si>
    <t>SNP</t>
  </si>
  <si>
    <t>DP User</t>
  </si>
  <si>
    <t>SNP User</t>
  </si>
  <si>
    <t>PPDS User</t>
  </si>
  <si>
    <t>ATP User</t>
  </si>
  <si>
    <t>1:00-4:00</t>
  </si>
  <si>
    <t>0</t>
  </si>
  <si>
    <t>9</t>
  </si>
  <si>
    <t>10</t>
  </si>
  <si>
    <t>11</t>
  </si>
  <si>
    <t>15</t>
  </si>
  <si>
    <t>16</t>
  </si>
  <si>
    <t>17</t>
  </si>
  <si>
    <t>21</t>
  </si>
  <si>
    <t>Start</t>
  </si>
  <si>
    <t>End</t>
  </si>
  <si>
    <t>Working Time</t>
  </si>
  <si>
    <t>8:00-17:00</t>
  </si>
  <si>
    <t>2:00-4:00</t>
  </si>
  <si>
    <t>9:00-16:00</t>
  </si>
  <si>
    <t>10:00-15:00</t>
  </si>
  <si>
    <t>11:00-14:00</t>
  </si>
  <si>
    <t>DP-User</t>
  </si>
  <si>
    <t>SNP-User</t>
  </si>
  <si>
    <t>PP/DS-User</t>
  </si>
  <si>
    <t>SAPS per PP/DS High User:</t>
  </si>
  <si>
    <t>Durat.</t>
  </si>
  <si>
    <t>DB (SAPS)</t>
  </si>
  <si>
    <t>APP (SAPS)</t>
  </si>
  <si>
    <t>LVC (SAPS)</t>
  </si>
  <si>
    <t>Maximum</t>
  </si>
  <si>
    <t>Workload</t>
  </si>
  <si>
    <t>Abschätzung Speicherbedarf im liveCache (Version 3.0A)</t>
  </si>
  <si>
    <t>Speicherbedarf der Objekte im liveCache (Version 3.0A)</t>
  </si>
  <si>
    <t>Total number of planning versions stored in InfoCube</t>
  </si>
  <si>
    <t>Total number of planning versions stored in liveCache</t>
  </si>
  <si>
    <t>11a</t>
  </si>
  <si>
    <t>18a</t>
  </si>
  <si>
    <t>18b</t>
  </si>
  <si>
    <t>18c</t>
  </si>
  <si>
    <t>21a</t>
  </si>
  <si>
    <t>26</t>
  </si>
  <si>
    <t>27</t>
  </si>
  <si>
    <t>28</t>
  </si>
  <si>
    <t>APO Sizing Questionaire (Version 3.0A SP10) 10.04.2001</t>
  </si>
  <si>
    <t>Duration of planning run time frame</t>
  </si>
  <si>
    <t>SAPS</t>
  </si>
  <si>
    <t xml:space="preserve">SAPS </t>
  </si>
  <si>
    <t>CPU-Sizing</t>
  </si>
  <si>
    <t>Memory-Sizing</t>
  </si>
  <si>
    <t>DB (MByte)</t>
  </si>
  <si>
    <t>APP (MByte)</t>
  </si>
  <si>
    <t>Workload Distribution</t>
  </si>
  <si>
    <t>1:00-2:00</t>
  </si>
</sst>
</file>

<file path=xl/styles.xml><?xml version="1.0" encoding="utf-8"?>
<styleSheet xmlns="http://schemas.openxmlformats.org/spreadsheetml/2006/main">
  <numFmts count="17">
    <numFmt numFmtId="5" formatCode="#,##0\ &quot;DM&quot;;\-#,##0\ &quot;DM&quot;"/>
    <numFmt numFmtId="6" formatCode="#,##0\ &quot;DM&quot;;[Red]\-#,##0\ &quot;DM&quot;"/>
    <numFmt numFmtId="7" formatCode="#,##0.00\ &quot;DM&quot;;\-#,##0.00\ &quot;DM&quot;"/>
    <numFmt numFmtId="8" formatCode="#,##0.00\ &quot;DM&quot;;[Red]\-#,##0.00\ &quot;DM&quot;"/>
    <numFmt numFmtId="42" formatCode="_-* #,##0\ &quot;DM&quot;_-;\-* #,##0\ &quot;DM&quot;_-;_-* &quot;-&quot;\ &quot;DM&quot;_-;_-@_-"/>
    <numFmt numFmtId="41" formatCode="_-* #,##0\ _D_M_-;\-* #,##0\ _D_M_-;_-* &quot;-&quot;\ _D_M_-;_-@_-"/>
    <numFmt numFmtId="44" formatCode="_-* #,##0.00\ &quot;DM&quot;_-;\-* #,##0.00\ &quot;DM&quot;_-;_-* &quot;-&quot;??\ &quot;DM&quot;_-;_-@_-"/>
    <numFmt numFmtId="43" formatCode="_-* #,##0.00\ _D_M_-;\-* #,##0.00\ _D_M_-;_-* &quot;-&quot;??\ _D_M_-;_-@_-"/>
    <numFmt numFmtId="164" formatCode="0.000"/>
    <numFmt numFmtId="165" formatCode="0.0000"/>
    <numFmt numFmtId="166" formatCode="0.0"/>
    <numFmt numFmtId="167" formatCode="00000"/>
    <numFmt numFmtId="168" formatCode="#,##0.0"/>
    <numFmt numFmtId="169" formatCode="#.##0"/>
    <numFmt numFmtId="170" formatCode="#.##000"/>
    <numFmt numFmtId="171" formatCode="#,##0.000"/>
    <numFmt numFmtId="172" formatCode="h:mm"/>
  </numFmts>
  <fonts count="24">
    <font>
      <sz val="10"/>
      <name val="Arial"/>
      <family val="0"/>
    </font>
    <font>
      <b/>
      <sz val="11"/>
      <name val="Arial"/>
      <family val="2"/>
    </font>
    <font>
      <b/>
      <sz val="14"/>
      <name val="Arial"/>
      <family val="2"/>
    </font>
    <font>
      <b/>
      <sz val="10"/>
      <name val="Arial"/>
      <family val="2"/>
    </font>
    <font>
      <b/>
      <sz val="12"/>
      <name val="Arial"/>
      <family val="2"/>
    </font>
    <font>
      <sz val="12"/>
      <name val="Arial"/>
      <family val="2"/>
    </font>
    <font>
      <b/>
      <sz val="14"/>
      <color indexed="10"/>
      <name val="Arial"/>
      <family val="2"/>
    </font>
    <font>
      <b/>
      <sz val="12"/>
      <color indexed="13"/>
      <name val="Arial"/>
      <family val="2"/>
    </font>
    <font>
      <b/>
      <sz val="12"/>
      <color indexed="32"/>
      <name val="Arial"/>
      <family val="2"/>
    </font>
    <font>
      <sz val="11"/>
      <name val="Arial"/>
      <family val="2"/>
    </font>
    <font>
      <b/>
      <sz val="16"/>
      <name val="Arial"/>
      <family val="2"/>
    </font>
    <font>
      <sz val="14"/>
      <name val="Arial"/>
      <family val="2"/>
    </font>
    <font>
      <sz val="8"/>
      <name val="Tahoma"/>
      <family val="0"/>
    </font>
    <font>
      <b/>
      <sz val="8"/>
      <name val="Tahoma"/>
      <family val="0"/>
    </font>
    <font>
      <sz val="10"/>
      <name val="Tahoma"/>
      <family val="2"/>
    </font>
    <font>
      <u val="single"/>
      <sz val="10"/>
      <color indexed="12"/>
      <name val="Arial"/>
      <family val="0"/>
    </font>
    <font>
      <u val="single"/>
      <sz val="10"/>
      <color indexed="36"/>
      <name val="Arial"/>
      <family val="0"/>
    </font>
    <font>
      <b/>
      <sz val="14"/>
      <color indexed="9"/>
      <name val="Arial"/>
      <family val="2"/>
    </font>
    <font>
      <b/>
      <i/>
      <sz val="12"/>
      <name val="Arial"/>
      <family val="2"/>
    </font>
    <font>
      <sz val="14"/>
      <color indexed="9"/>
      <name val="Arial"/>
      <family val="2"/>
    </font>
    <font>
      <i/>
      <sz val="12"/>
      <name val="Arial"/>
      <family val="2"/>
    </font>
    <font>
      <sz val="9.75"/>
      <name val="Arial"/>
      <family val="0"/>
    </font>
    <font>
      <b/>
      <sz val="16"/>
      <color indexed="9"/>
      <name val="Arial"/>
      <family val="2"/>
    </font>
    <font>
      <b/>
      <sz val="8"/>
      <name val="Arial"/>
      <family val="2"/>
    </font>
  </fonts>
  <fills count="15">
    <fill>
      <patternFill/>
    </fill>
    <fill>
      <patternFill patternType="gray125"/>
    </fill>
    <fill>
      <patternFill patternType="solid">
        <fgColor indexed="22"/>
        <bgColor indexed="64"/>
      </patternFill>
    </fill>
    <fill>
      <patternFill patternType="solid">
        <fgColor indexed="13"/>
        <bgColor indexed="64"/>
      </patternFill>
    </fill>
    <fill>
      <patternFill patternType="solid">
        <fgColor indexed="44"/>
        <bgColor indexed="64"/>
      </patternFill>
    </fill>
    <fill>
      <patternFill patternType="solid">
        <fgColor indexed="62"/>
        <bgColor indexed="64"/>
      </patternFill>
    </fill>
    <fill>
      <patternFill patternType="solid">
        <fgColor indexed="9"/>
        <bgColor indexed="64"/>
      </patternFill>
    </fill>
    <fill>
      <patternFill patternType="solid">
        <fgColor indexed="9"/>
        <bgColor indexed="64"/>
      </patternFill>
    </fill>
    <fill>
      <patternFill patternType="lightGrid">
        <bgColor indexed="26"/>
      </patternFill>
    </fill>
    <fill>
      <patternFill patternType="lightGrid">
        <bgColor indexed="9"/>
      </patternFill>
    </fill>
    <fill>
      <patternFill patternType="lightGrid"/>
    </fill>
    <fill>
      <patternFill patternType="solid">
        <fgColor indexed="43"/>
        <bgColor indexed="64"/>
      </patternFill>
    </fill>
    <fill>
      <patternFill patternType="solid">
        <fgColor indexed="26"/>
        <bgColor indexed="64"/>
      </patternFill>
    </fill>
    <fill>
      <patternFill patternType="lightGrid">
        <bgColor indexed="13"/>
      </patternFill>
    </fill>
    <fill>
      <patternFill patternType="lightGrid">
        <bgColor indexed="22"/>
      </patternFill>
    </fill>
  </fills>
  <borders count="14">
    <border>
      <left/>
      <right/>
      <top/>
      <bottom/>
      <diagonal/>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style="thin"/>
      <right style="thin"/>
      <top style="thin"/>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color indexed="63"/>
      </top>
      <bottom style="thin"/>
    </border>
    <border>
      <left style="thin"/>
      <right>
        <color indexed="63"/>
      </right>
      <top style="thin"/>
      <bottom style="thin"/>
    </border>
    <border>
      <left>
        <color indexed="63"/>
      </left>
      <right style="thin"/>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9" fontId="0" fillId="0" borderId="0" applyFont="0" applyFill="0" applyBorder="0" applyAlignment="0" applyProtection="0"/>
  </cellStyleXfs>
  <cellXfs count="284">
    <xf numFmtId="0" fontId="0" fillId="0" borderId="0" xfId="0" applyAlignment="1">
      <alignment/>
    </xf>
    <xf numFmtId="0" fontId="0" fillId="0" borderId="0" xfId="0" applyAlignment="1">
      <alignment vertical="center"/>
    </xf>
    <xf numFmtId="0" fontId="1" fillId="0" borderId="0" xfId="0" applyFont="1" applyAlignment="1">
      <alignment vertical="center"/>
    </xf>
    <xf numFmtId="49" fontId="0" fillId="0" borderId="0" xfId="0" applyNumberFormat="1" applyAlignment="1">
      <alignment vertical="center"/>
    </xf>
    <xf numFmtId="49" fontId="1" fillId="0" borderId="0" xfId="0" applyNumberFormat="1" applyFont="1" applyAlignment="1">
      <alignment vertical="center"/>
    </xf>
    <xf numFmtId="3" fontId="0" fillId="0" borderId="0" xfId="0" applyNumberFormat="1" applyAlignment="1">
      <alignment vertical="center"/>
    </xf>
    <xf numFmtId="3" fontId="0" fillId="0" borderId="0" xfId="0" applyNumberFormat="1" applyAlignment="1">
      <alignment horizontal="right" vertical="center"/>
    </xf>
    <xf numFmtId="3" fontId="3" fillId="0" borderId="0" xfId="0" applyNumberFormat="1" applyFont="1" applyAlignment="1">
      <alignment horizontal="right" vertical="center"/>
    </xf>
    <xf numFmtId="0" fontId="3" fillId="0" borderId="0" xfId="0" applyFont="1" applyAlignment="1">
      <alignment vertical="center"/>
    </xf>
    <xf numFmtId="164" fontId="0" fillId="0" borderId="0" xfId="0" applyNumberFormat="1" applyAlignment="1">
      <alignment horizontal="right" vertical="center"/>
    </xf>
    <xf numFmtId="164" fontId="3" fillId="0" borderId="0" xfId="0" applyNumberFormat="1" applyFont="1" applyAlignment="1">
      <alignment horizontal="right" vertical="center"/>
    </xf>
    <xf numFmtId="49" fontId="3" fillId="0" borderId="0" xfId="0" applyNumberFormat="1" applyFont="1" applyAlignment="1">
      <alignment vertical="center"/>
    </xf>
    <xf numFmtId="49" fontId="3" fillId="2" borderId="0" xfId="0" applyNumberFormat="1" applyFont="1" applyFill="1" applyAlignment="1">
      <alignment vertical="center"/>
    </xf>
    <xf numFmtId="3" fontId="3" fillId="2" borderId="0" xfId="0" applyNumberFormat="1" applyFont="1" applyFill="1" applyAlignment="1">
      <alignment horizontal="right" vertical="center"/>
    </xf>
    <xf numFmtId="14" fontId="3" fillId="0" borderId="0" xfId="0" applyNumberFormat="1" applyFont="1" applyAlignment="1">
      <alignment vertical="center"/>
    </xf>
    <xf numFmtId="3" fontId="0" fillId="0" borderId="0" xfId="0" applyNumberFormat="1" applyAlignment="1">
      <alignment horizontal="center" vertical="center"/>
    </xf>
    <xf numFmtId="3" fontId="3" fillId="0" borderId="0" xfId="0" applyNumberFormat="1" applyFont="1" applyAlignment="1">
      <alignment horizontal="center" vertical="center" wrapText="1"/>
    </xf>
    <xf numFmtId="0" fontId="0" fillId="0" borderId="0" xfId="0" applyAlignment="1">
      <alignment horizontal="left" vertical="center" wrapText="1"/>
    </xf>
    <xf numFmtId="0" fontId="4" fillId="0" borderId="0" xfId="0" applyFont="1" applyAlignment="1">
      <alignment vertical="center"/>
    </xf>
    <xf numFmtId="3" fontId="4" fillId="2" borderId="0" xfId="0" applyNumberFormat="1" applyFont="1" applyFill="1" applyAlignment="1">
      <alignment horizontal="right" vertical="center"/>
    </xf>
    <xf numFmtId="164" fontId="4" fillId="2" borderId="0" xfId="0" applyNumberFormat="1" applyFont="1" applyFill="1" applyAlignment="1">
      <alignment horizontal="right" vertical="center"/>
    </xf>
    <xf numFmtId="0" fontId="4" fillId="2" borderId="0" xfId="0" applyFont="1" applyFill="1" applyAlignment="1">
      <alignment vertical="center"/>
    </xf>
    <xf numFmtId="3" fontId="4" fillId="2" borderId="0" xfId="0" applyNumberFormat="1" applyFont="1" applyFill="1" applyAlignment="1">
      <alignment vertical="center"/>
    </xf>
    <xf numFmtId="0" fontId="5" fillId="2" borderId="0" xfId="0" applyFont="1" applyFill="1" applyAlignment="1">
      <alignment vertical="center"/>
    </xf>
    <xf numFmtId="3" fontId="5" fillId="2" borderId="0" xfId="0" applyNumberFormat="1" applyFont="1" applyFill="1" applyAlignment="1">
      <alignment vertical="center"/>
    </xf>
    <xf numFmtId="0" fontId="0" fillId="0" borderId="0" xfId="0" applyAlignment="1">
      <alignment horizontal="center" vertical="center"/>
    </xf>
    <xf numFmtId="0" fontId="0" fillId="0" borderId="0" xfId="0" applyFont="1" applyAlignment="1">
      <alignment vertical="center"/>
    </xf>
    <xf numFmtId="3" fontId="0" fillId="3" borderId="0" xfId="0" applyNumberFormat="1" applyFill="1" applyAlignment="1">
      <alignment vertical="center"/>
    </xf>
    <xf numFmtId="0" fontId="6" fillId="0" borderId="0" xfId="0" applyFont="1" applyAlignment="1">
      <alignment vertical="center"/>
    </xf>
    <xf numFmtId="0" fontId="8" fillId="0" borderId="0" xfId="0" applyFont="1" applyAlignment="1">
      <alignment vertical="center"/>
    </xf>
    <xf numFmtId="3" fontId="0" fillId="3" borderId="0" xfId="0" applyNumberFormat="1" applyFill="1" applyAlignment="1" applyProtection="1">
      <alignment vertical="center"/>
      <protection locked="0"/>
    </xf>
    <xf numFmtId="3" fontId="0" fillId="3" borderId="0" xfId="0" applyNumberFormat="1" applyFont="1" applyFill="1" applyAlignment="1" applyProtection="1">
      <alignment vertical="center"/>
      <protection locked="0"/>
    </xf>
    <xf numFmtId="166" fontId="0" fillId="3" borderId="0" xfId="0" applyNumberFormat="1" applyFill="1" applyAlignment="1" applyProtection="1">
      <alignment vertical="center"/>
      <protection locked="0"/>
    </xf>
    <xf numFmtId="166" fontId="0" fillId="3" borderId="0" xfId="0" applyNumberFormat="1" applyFont="1" applyFill="1" applyAlignment="1" applyProtection="1">
      <alignment vertical="center"/>
      <protection locked="0"/>
    </xf>
    <xf numFmtId="10" fontId="0" fillId="3" borderId="0" xfId="0" applyNumberFormat="1" applyFill="1" applyAlignment="1" applyProtection="1">
      <alignment vertical="center"/>
      <protection locked="0"/>
    </xf>
    <xf numFmtId="3" fontId="0" fillId="0" borderId="0" xfId="0" applyNumberFormat="1" applyAlignment="1" applyProtection="1">
      <alignment vertical="center"/>
      <protection locked="0"/>
    </xf>
    <xf numFmtId="3" fontId="1" fillId="0" borderId="0" xfId="0" applyNumberFormat="1" applyFont="1" applyAlignment="1">
      <alignment horizontal="center" vertical="center"/>
    </xf>
    <xf numFmtId="3" fontId="3" fillId="0" borderId="0" xfId="0" applyNumberFormat="1" applyFont="1" applyAlignment="1">
      <alignment horizontal="center" vertical="center"/>
    </xf>
    <xf numFmtId="3" fontId="0" fillId="0" borderId="0" xfId="0" applyNumberFormat="1" applyFill="1" applyAlignment="1" applyProtection="1">
      <alignment vertical="center"/>
      <protection locked="0"/>
    </xf>
    <xf numFmtId="0" fontId="9" fillId="0" borderId="0" xfId="0" applyFont="1" applyAlignment="1">
      <alignment vertical="center"/>
    </xf>
    <xf numFmtId="3" fontId="9" fillId="0" borderId="0" xfId="0" applyNumberFormat="1" applyFont="1" applyFill="1" applyAlignment="1" applyProtection="1">
      <alignment vertical="center"/>
      <protection locked="0"/>
    </xf>
    <xf numFmtId="3" fontId="9" fillId="0" borderId="0" xfId="0" applyNumberFormat="1" applyFont="1" applyAlignment="1">
      <alignment vertical="center"/>
    </xf>
    <xf numFmtId="3" fontId="1" fillId="0" borderId="0" xfId="0" applyNumberFormat="1" applyFont="1" applyAlignment="1">
      <alignment vertical="center"/>
    </xf>
    <xf numFmtId="0" fontId="10" fillId="0" borderId="0" xfId="0" applyFont="1" applyAlignment="1">
      <alignment vertical="center"/>
    </xf>
    <xf numFmtId="1" fontId="0" fillId="0" borderId="0" xfId="0" applyNumberFormat="1" applyFill="1" applyAlignment="1">
      <alignment horizontal="center" vertical="center"/>
    </xf>
    <xf numFmtId="1" fontId="0" fillId="3" borderId="0" xfId="0" applyNumberFormat="1" applyFill="1" applyAlignment="1" applyProtection="1">
      <alignment horizontal="center" vertical="center"/>
      <protection locked="0"/>
    </xf>
    <xf numFmtId="0" fontId="0" fillId="0" borderId="0" xfId="0" applyFill="1" applyAlignment="1">
      <alignment vertical="center"/>
    </xf>
    <xf numFmtId="0" fontId="0" fillId="3" borderId="0" xfId="0" applyFill="1" applyAlignment="1" applyProtection="1">
      <alignment horizontal="center" vertical="center"/>
      <protection locked="0"/>
    </xf>
    <xf numFmtId="0" fontId="1" fillId="0" borderId="0" xfId="0" applyFont="1" applyAlignment="1">
      <alignment horizontal="center" vertical="center"/>
    </xf>
    <xf numFmtId="0" fontId="3" fillId="0" borderId="0" xfId="0" applyFont="1" applyAlignment="1">
      <alignment horizontal="center" vertical="center" wrapText="1"/>
    </xf>
    <xf numFmtId="0" fontId="9" fillId="0" borderId="0" xfId="0" applyFont="1" applyAlignment="1">
      <alignment horizontal="center" vertical="center"/>
    </xf>
    <xf numFmtId="49" fontId="0" fillId="0" borderId="0" xfId="0" applyNumberFormat="1" applyFont="1" applyAlignment="1">
      <alignment vertical="center"/>
    </xf>
    <xf numFmtId="0" fontId="0" fillId="0" borderId="0" xfId="0" applyFont="1" applyFill="1" applyAlignment="1">
      <alignment vertical="center"/>
    </xf>
    <xf numFmtId="0" fontId="0" fillId="3" borderId="0" xfId="0" applyFont="1" applyFill="1" applyAlignment="1" applyProtection="1">
      <alignment horizontal="center" vertical="center"/>
      <protection locked="0"/>
    </xf>
    <xf numFmtId="1" fontId="0" fillId="3" borderId="0" xfId="0" applyNumberFormat="1" applyFont="1" applyFill="1" applyAlignment="1" applyProtection="1">
      <alignment horizontal="center" vertical="center"/>
      <protection locked="0"/>
    </xf>
    <xf numFmtId="0" fontId="1" fillId="0" borderId="0" xfId="0" applyFont="1" applyFill="1" applyAlignment="1">
      <alignment vertical="center"/>
    </xf>
    <xf numFmtId="3" fontId="1" fillId="0" borderId="0" xfId="0" applyNumberFormat="1" applyFont="1" applyAlignment="1" applyProtection="1">
      <alignment vertical="center"/>
      <protection locked="0"/>
    </xf>
    <xf numFmtId="0" fontId="0" fillId="0" borderId="0" xfId="0" applyAlignment="1">
      <alignment vertical="center" wrapText="1"/>
    </xf>
    <xf numFmtId="0" fontId="3" fillId="2" borderId="0" xfId="0" applyFont="1" applyFill="1" applyAlignment="1">
      <alignment horizontal="left" vertical="center" wrapText="1"/>
    </xf>
    <xf numFmtId="0" fontId="0" fillId="2" borderId="0" xfId="0" applyFill="1" applyAlignment="1">
      <alignment vertical="center"/>
    </xf>
    <xf numFmtId="3" fontId="0" fillId="2" borderId="0" xfId="0" applyNumberFormat="1" applyFill="1" applyAlignment="1">
      <alignment horizontal="right" vertical="center"/>
    </xf>
    <xf numFmtId="164" fontId="0" fillId="2" borderId="0" xfId="0" applyNumberFormat="1" applyFill="1" applyAlignment="1">
      <alignment horizontal="right" vertical="center"/>
    </xf>
    <xf numFmtId="3" fontId="0" fillId="2" borderId="0" xfId="0" applyNumberFormat="1" applyFill="1" applyAlignment="1">
      <alignment vertical="center"/>
    </xf>
    <xf numFmtId="0" fontId="3" fillId="2" borderId="0" xfId="0" applyFont="1" applyFill="1" applyAlignment="1">
      <alignment vertical="center"/>
    </xf>
    <xf numFmtId="164" fontId="3" fillId="2" borderId="0" xfId="0" applyNumberFormat="1" applyFont="1" applyFill="1" applyAlignment="1">
      <alignment horizontal="right" vertical="center"/>
    </xf>
    <xf numFmtId="3" fontId="0" fillId="0" borderId="0" xfId="0" applyNumberFormat="1" applyFill="1" applyAlignment="1">
      <alignment horizontal="right" vertical="center"/>
    </xf>
    <xf numFmtId="164" fontId="0" fillId="0" borderId="0" xfId="0" applyNumberFormat="1" applyFill="1" applyAlignment="1">
      <alignment horizontal="right" vertical="center"/>
    </xf>
    <xf numFmtId="3" fontId="9" fillId="0" borderId="0" xfId="0" applyNumberFormat="1" applyFont="1" applyAlignment="1">
      <alignment horizontal="right" vertical="center"/>
    </xf>
    <xf numFmtId="164" fontId="9" fillId="0" borderId="0" xfId="0" applyNumberFormat="1" applyFont="1" applyAlignment="1">
      <alignment horizontal="right" vertical="center"/>
    </xf>
    <xf numFmtId="3" fontId="0" fillId="0" borderId="0" xfId="0" applyNumberFormat="1" applyFont="1" applyAlignment="1">
      <alignment vertical="center"/>
    </xf>
    <xf numFmtId="49" fontId="3" fillId="0" borderId="0" xfId="0" applyNumberFormat="1" applyFont="1" applyFill="1" applyAlignment="1">
      <alignment vertical="center"/>
    </xf>
    <xf numFmtId="0" fontId="3" fillId="0" borderId="0" xfId="0" applyFont="1" applyFill="1" applyAlignment="1">
      <alignment vertical="center"/>
    </xf>
    <xf numFmtId="3" fontId="3" fillId="0" borderId="0" xfId="0" applyNumberFormat="1" applyFont="1" applyFill="1" applyAlignment="1">
      <alignment horizontal="right" vertical="center"/>
    </xf>
    <xf numFmtId="164" fontId="3" fillId="0" borderId="0" xfId="0" applyNumberFormat="1" applyFont="1" applyFill="1" applyAlignment="1">
      <alignment horizontal="right" vertical="center"/>
    </xf>
    <xf numFmtId="3" fontId="0" fillId="0" borderId="0" xfId="0" applyNumberFormat="1" applyFill="1" applyAlignment="1" applyProtection="1">
      <alignment vertical="center"/>
      <protection/>
    </xf>
    <xf numFmtId="10" fontId="0" fillId="0" borderId="0" xfId="0" applyNumberFormat="1" applyFill="1" applyAlignment="1" applyProtection="1">
      <alignment vertical="center"/>
      <protection/>
    </xf>
    <xf numFmtId="166" fontId="3" fillId="0" borderId="0" xfId="0" applyNumberFormat="1" applyFont="1" applyFill="1" applyAlignment="1" applyProtection="1">
      <alignment vertical="center"/>
      <protection/>
    </xf>
    <xf numFmtId="3" fontId="3" fillId="0" borderId="0" xfId="0" applyNumberFormat="1" applyFont="1" applyFill="1" applyAlignment="1" applyProtection="1">
      <alignment vertical="center"/>
      <protection/>
    </xf>
    <xf numFmtId="0" fontId="11" fillId="0" borderId="0" xfId="0" applyFont="1" applyAlignment="1">
      <alignment vertical="center"/>
    </xf>
    <xf numFmtId="9" fontId="0" fillId="3" borderId="0" xfId="0" applyNumberFormat="1" applyFill="1" applyAlignment="1" applyProtection="1">
      <alignment vertical="center"/>
      <protection/>
    </xf>
    <xf numFmtId="168" fontId="0" fillId="3" borderId="0" xfId="0" applyNumberFormat="1" applyFill="1" applyAlignment="1" applyProtection="1">
      <alignment vertical="center"/>
      <protection/>
    </xf>
    <xf numFmtId="49" fontId="0" fillId="0" borderId="0" xfId="0" applyNumberFormat="1" applyFont="1" applyFill="1" applyAlignment="1">
      <alignment vertical="center"/>
    </xf>
    <xf numFmtId="3" fontId="0" fillId="0" borderId="0" xfId="0" applyNumberFormat="1" applyFont="1" applyFill="1" applyAlignment="1">
      <alignment horizontal="right" vertical="center"/>
    </xf>
    <xf numFmtId="164" fontId="0" fillId="0" borderId="0" xfId="0" applyNumberFormat="1" applyFont="1" applyFill="1" applyAlignment="1">
      <alignment horizontal="right" vertical="center"/>
    </xf>
    <xf numFmtId="9" fontId="0" fillId="3" borderId="0" xfId="0" applyNumberFormat="1" applyFont="1" applyFill="1" applyAlignment="1" applyProtection="1">
      <alignment vertical="center"/>
      <protection/>
    </xf>
    <xf numFmtId="168" fontId="0" fillId="3" borderId="0" xfId="0" applyNumberFormat="1" applyFont="1" applyFill="1" applyAlignment="1" applyProtection="1">
      <alignment vertical="center"/>
      <protection/>
    </xf>
    <xf numFmtId="0" fontId="0" fillId="2" borderId="0" xfId="0" applyFont="1" applyFill="1" applyAlignment="1">
      <alignment vertical="center"/>
    </xf>
    <xf numFmtId="0" fontId="1" fillId="4" borderId="0" xfId="0" applyFont="1" applyFill="1" applyAlignment="1">
      <alignment vertical="center"/>
    </xf>
    <xf numFmtId="0" fontId="0" fillId="4" borderId="0" xfId="0" applyFill="1" applyAlignment="1">
      <alignment horizontal="right" vertical="center"/>
    </xf>
    <xf numFmtId="0" fontId="0" fillId="4" borderId="0" xfId="0" applyFill="1" applyAlignment="1">
      <alignment vertical="center"/>
    </xf>
    <xf numFmtId="3" fontId="0" fillId="4" borderId="0" xfId="0" applyNumberFormat="1" applyFill="1" applyAlignment="1">
      <alignment horizontal="right" vertical="center"/>
    </xf>
    <xf numFmtId="3" fontId="0" fillId="4" borderId="0" xfId="0" applyNumberFormat="1" applyFill="1" applyAlignment="1">
      <alignment vertical="center"/>
    </xf>
    <xf numFmtId="168" fontId="0" fillId="3" borderId="0" xfId="0" applyNumberFormat="1" applyFill="1" applyAlignment="1" applyProtection="1">
      <alignment vertical="center"/>
      <protection locked="0"/>
    </xf>
    <xf numFmtId="168" fontId="0" fillId="3" borderId="0" xfId="0" applyNumberFormat="1" applyFont="1" applyFill="1" applyAlignment="1" applyProtection="1">
      <alignment vertical="center"/>
      <protection locked="0"/>
    </xf>
    <xf numFmtId="1" fontId="0" fillId="3" borderId="0" xfId="0" applyNumberFormat="1" applyFill="1" applyAlignment="1" applyProtection="1">
      <alignment vertical="center"/>
      <protection locked="0"/>
    </xf>
    <xf numFmtId="3" fontId="0" fillId="0" borderId="0" xfId="0" applyNumberFormat="1" applyFill="1" applyAlignment="1">
      <alignment vertical="center"/>
    </xf>
    <xf numFmtId="3" fontId="0" fillId="4" borderId="0" xfId="0" applyNumberFormat="1" applyFont="1" applyFill="1" applyAlignment="1">
      <alignment vertical="center"/>
    </xf>
    <xf numFmtId="0" fontId="0" fillId="3" borderId="0" xfId="0" applyFill="1" applyAlignment="1">
      <alignment horizontal="center" vertical="center"/>
    </xf>
    <xf numFmtId="3" fontId="0" fillId="3" borderId="0" xfId="0" applyNumberFormat="1" applyFill="1" applyAlignment="1">
      <alignment horizontal="center" vertical="center"/>
    </xf>
    <xf numFmtId="3" fontId="0" fillId="2" borderId="0" xfId="0" applyNumberFormat="1" applyFill="1" applyAlignment="1" applyProtection="1">
      <alignment vertical="center"/>
      <protection/>
    </xf>
    <xf numFmtId="0" fontId="0" fillId="3" borderId="0" xfId="0" applyFill="1" applyAlignment="1">
      <alignment/>
    </xf>
    <xf numFmtId="9" fontId="0" fillId="3" borderId="0" xfId="0" applyNumberFormat="1" applyFill="1" applyAlignment="1">
      <alignment/>
    </xf>
    <xf numFmtId="0" fontId="0" fillId="0" borderId="0" xfId="0" applyFill="1" applyAlignment="1">
      <alignment/>
    </xf>
    <xf numFmtId="0" fontId="0" fillId="2" borderId="0" xfId="0" applyFill="1" applyAlignment="1">
      <alignment/>
    </xf>
    <xf numFmtId="164" fontId="0" fillId="2" borderId="0" xfId="0" applyNumberFormat="1" applyFill="1" applyAlignment="1">
      <alignment/>
    </xf>
    <xf numFmtId="49" fontId="0" fillId="3" borderId="0" xfId="0" applyNumberFormat="1" applyFill="1" applyAlignment="1">
      <alignment horizontal="right" vertical="center"/>
    </xf>
    <xf numFmtId="0" fontId="0" fillId="5" borderId="1" xfId="0" applyFill="1" applyBorder="1" applyAlignment="1">
      <alignment horizontal="left" vertical="top" wrapText="1" indent="3"/>
    </xf>
    <xf numFmtId="49" fontId="17" fillId="5" borderId="2" xfId="0" applyNumberFormat="1" applyFont="1" applyFill="1" applyBorder="1" applyAlignment="1">
      <alignment horizontal="center" vertical="center" wrapText="1"/>
    </xf>
    <xf numFmtId="49" fontId="2" fillId="5" borderId="2" xfId="0" applyNumberFormat="1" applyFont="1" applyFill="1" applyBorder="1" applyAlignment="1">
      <alignment horizontal="center" vertical="center"/>
    </xf>
    <xf numFmtId="49" fontId="2" fillId="5" borderId="0" xfId="0" applyNumberFormat="1" applyFont="1" applyFill="1" applyBorder="1" applyAlignment="1">
      <alignment horizontal="center" vertical="center"/>
    </xf>
    <xf numFmtId="0" fontId="0" fillId="6" borderId="3" xfId="0" applyFill="1" applyBorder="1" applyAlignment="1">
      <alignment horizontal="left" vertical="top" wrapText="1" indent="3"/>
    </xf>
    <xf numFmtId="49" fontId="0" fillId="6" borderId="0" xfId="0" applyNumberFormat="1" applyFont="1" applyFill="1" applyBorder="1" applyAlignment="1">
      <alignment horizontal="left" vertical="center"/>
    </xf>
    <xf numFmtId="49" fontId="2" fillId="6" borderId="0" xfId="0" applyNumberFormat="1" applyFont="1" applyFill="1" applyBorder="1" applyAlignment="1">
      <alignment horizontal="center" vertical="center"/>
    </xf>
    <xf numFmtId="0" fontId="0" fillId="6" borderId="0" xfId="0" applyFill="1" applyBorder="1" applyAlignment="1">
      <alignment/>
    </xf>
    <xf numFmtId="49" fontId="0" fillId="6" borderId="3" xfId="0" applyNumberFormat="1" applyFill="1" applyBorder="1" applyAlignment="1">
      <alignment horizontal="left" vertical="top" wrapText="1" indent="3"/>
    </xf>
    <xf numFmtId="0" fontId="0" fillId="6" borderId="0" xfId="0" applyFill="1" applyBorder="1" applyAlignment="1">
      <alignment vertical="center"/>
    </xf>
    <xf numFmtId="3" fontId="3" fillId="6" borderId="0" xfId="0" applyNumberFormat="1" applyFont="1" applyFill="1" applyBorder="1" applyAlignment="1">
      <alignment vertical="center"/>
    </xf>
    <xf numFmtId="49" fontId="4" fillId="6" borderId="0" xfId="0" applyNumberFormat="1" applyFont="1" applyFill="1" applyBorder="1" applyAlignment="1">
      <alignment vertical="center"/>
    </xf>
    <xf numFmtId="3" fontId="0" fillId="6" borderId="0" xfId="0" applyNumberFormat="1" applyFill="1" applyBorder="1" applyAlignment="1">
      <alignment horizontal="right" vertical="center"/>
    </xf>
    <xf numFmtId="0" fontId="18" fillId="6" borderId="0" xfId="0" applyFont="1" applyFill="1" applyBorder="1" applyAlignment="1">
      <alignment horizontal="center" vertical="center" wrapText="1"/>
    </xf>
    <xf numFmtId="0" fontId="19" fillId="5" borderId="3" xfId="0" applyFont="1" applyFill="1" applyBorder="1" applyAlignment="1">
      <alignment horizontal="center" vertical="top" wrapText="1"/>
    </xf>
    <xf numFmtId="0" fontId="17" fillId="5" borderId="0" xfId="0" applyFont="1" applyFill="1" applyBorder="1" applyAlignment="1">
      <alignment horizontal="center" vertical="center" wrapText="1"/>
    </xf>
    <xf numFmtId="0" fontId="3" fillId="5" borderId="0" xfId="0" applyFont="1" applyFill="1" applyBorder="1" applyAlignment="1">
      <alignment/>
    </xf>
    <xf numFmtId="0" fontId="0" fillId="2" borderId="0" xfId="0" applyFill="1" applyBorder="1" applyAlignment="1">
      <alignment/>
    </xf>
    <xf numFmtId="0" fontId="4" fillId="2" borderId="0" xfId="0" applyFont="1" applyFill="1" applyBorder="1" applyAlignment="1">
      <alignment horizontal="center" vertical="center" wrapText="1"/>
    </xf>
    <xf numFmtId="0" fontId="3" fillId="2" borderId="0" xfId="0" applyFont="1" applyFill="1" applyBorder="1" applyAlignment="1">
      <alignment/>
    </xf>
    <xf numFmtId="49" fontId="0" fillId="6" borderId="0" xfId="0" applyNumberFormat="1" applyFont="1" applyFill="1" applyBorder="1" applyAlignment="1">
      <alignment horizontal="left" vertical="center" wrapText="1" shrinkToFit="1"/>
    </xf>
    <xf numFmtId="3" fontId="4" fillId="6" borderId="0" xfId="0" applyNumberFormat="1" applyFont="1" applyFill="1" applyBorder="1" applyAlignment="1">
      <alignment vertical="center"/>
    </xf>
    <xf numFmtId="0" fontId="20" fillId="6" borderId="0" xfId="0" applyFont="1" applyFill="1" applyBorder="1" applyAlignment="1">
      <alignment/>
    </xf>
    <xf numFmtId="0" fontId="3" fillId="6" borderId="0" xfId="0" applyFont="1" applyFill="1" applyBorder="1" applyAlignment="1">
      <alignment/>
    </xf>
    <xf numFmtId="49" fontId="5" fillId="7" borderId="3" xfId="0" applyNumberFormat="1" applyFont="1" applyFill="1" applyBorder="1" applyAlignment="1">
      <alignment horizontal="left" vertical="top" wrapText="1" indent="3"/>
    </xf>
    <xf numFmtId="0" fontId="5" fillId="7" borderId="0" xfId="0" applyFont="1" applyFill="1" applyBorder="1" applyAlignment="1">
      <alignment vertical="center"/>
    </xf>
    <xf numFmtId="3" fontId="4" fillId="7" borderId="0" xfId="0" applyNumberFormat="1" applyFont="1" applyFill="1" applyBorder="1" applyAlignment="1">
      <alignment vertical="center"/>
    </xf>
    <xf numFmtId="49" fontId="5" fillId="6" borderId="3" xfId="0" applyNumberFormat="1" applyFont="1" applyFill="1" applyBorder="1" applyAlignment="1">
      <alignment horizontal="left" vertical="top" wrapText="1" indent="3"/>
    </xf>
    <xf numFmtId="0" fontId="5" fillId="6" borderId="0" xfId="0" applyFont="1" applyFill="1" applyBorder="1" applyAlignment="1">
      <alignment vertical="center"/>
    </xf>
    <xf numFmtId="1" fontId="4" fillId="6" borderId="0" xfId="0" applyNumberFormat="1" applyFont="1" applyFill="1" applyBorder="1" applyAlignment="1">
      <alignment vertical="center"/>
    </xf>
    <xf numFmtId="0" fontId="5" fillId="6" borderId="0" xfId="0" applyFont="1" applyFill="1" applyBorder="1" applyAlignment="1">
      <alignment vertical="center" wrapText="1" shrinkToFit="1"/>
    </xf>
    <xf numFmtId="3" fontId="4" fillId="6" borderId="0" xfId="0" applyNumberFormat="1" applyFont="1" applyFill="1" applyBorder="1" applyAlignment="1">
      <alignment horizontal="right" vertical="center"/>
    </xf>
    <xf numFmtId="49" fontId="4" fillId="2" borderId="0" xfId="0" applyNumberFormat="1" applyFont="1" applyFill="1" applyBorder="1" applyAlignment="1">
      <alignment horizontal="center" vertical="center" wrapText="1"/>
    </xf>
    <xf numFmtId="0" fontId="5" fillId="6" borderId="3" xfId="0" applyFont="1" applyFill="1" applyBorder="1" applyAlignment="1">
      <alignment horizontal="left" vertical="top" wrapText="1" indent="3"/>
    </xf>
    <xf numFmtId="0" fontId="5" fillId="6" borderId="3" xfId="0" applyFont="1" applyFill="1" applyBorder="1" applyAlignment="1">
      <alignment horizontal="left" vertical="center" wrapText="1" indent="3"/>
    </xf>
    <xf numFmtId="0" fontId="5" fillId="6" borderId="0" xfId="0" applyFont="1" applyFill="1" applyBorder="1" applyAlignment="1">
      <alignment wrapText="1"/>
    </xf>
    <xf numFmtId="9" fontId="4" fillId="6" borderId="0" xfId="0" applyNumberFormat="1" applyFont="1" applyFill="1" applyBorder="1" applyAlignment="1">
      <alignment vertical="center"/>
    </xf>
    <xf numFmtId="0" fontId="20" fillId="6" borderId="0" xfId="0" applyFont="1" applyFill="1" applyBorder="1" applyAlignment="1">
      <alignment/>
    </xf>
    <xf numFmtId="168" fontId="4" fillId="6" borderId="0" xfId="0" applyNumberFormat="1" applyFont="1" applyFill="1" applyBorder="1" applyAlignment="1">
      <alignment vertical="center"/>
    </xf>
    <xf numFmtId="166" fontId="4" fillId="6" borderId="0" xfId="0" applyNumberFormat="1" applyFont="1" applyFill="1" applyBorder="1" applyAlignment="1">
      <alignment vertical="center"/>
    </xf>
    <xf numFmtId="49" fontId="5" fillId="8" borderId="3" xfId="0" applyNumberFormat="1" applyFont="1" applyFill="1" applyBorder="1" applyAlignment="1">
      <alignment horizontal="left" vertical="top" wrapText="1" indent="3"/>
    </xf>
    <xf numFmtId="0" fontId="5" fillId="8" borderId="0" xfId="0" applyFont="1" applyFill="1" applyBorder="1" applyAlignment="1">
      <alignment vertical="center"/>
    </xf>
    <xf numFmtId="3" fontId="4" fillId="8" borderId="0" xfId="0" applyNumberFormat="1" applyFont="1" applyFill="1" applyBorder="1" applyAlignment="1">
      <alignment horizontal="right" vertical="center"/>
    </xf>
    <xf numFmtId="49" fontId="5" fillId="6" borderId="0" xfId="0" applyNumberFormat="1" applyFont="1" applyFill="1" applyBorder="1" applyAlignment="1">
      <alignment horizontal="left" vertical="top" wrapText="1" indent="3"/>
    </xf>
    <xf numFmtId="49" fontId="4" fillId="6" borderId="0" xfId="0" applyNumberFormat="1" applyFont="1" applyFill="1" applyBorder="1" applyAlignment="1">
      <alignment horizontal="center" vertical="center" wrapText="1"/>
    </xf>
    <xf numFmtId="0" fontId="0" fillId="6" borderId="4" xfId="0" applyFill="1" applyBorder="1" applyAlignment="1">
      <alignment/>
    </xf>
    <xf numFmtId="3" fontId="4" fillId="6" borderId="0" xfId="0" applyNumberFormat="1" applyFont="1" applyFill="1" applyBorder="1" applyAlignment="1">
      <alignment vertical="center" wrapText="1"/>
    </xf>
    <xf numFmtId="0" fontId="0" fillId="6" borderId="5" xfId="0" applyFill="1" applyBorder="1" applyAlignment="1">
      <alignment/>
    </xf>
    <xf numFmtId="0" fontId="0" fillId="6" borderId="6" xfId="0" applyFill="1" applyBorder="1" applyAlignment="1">
      <alignment/>
    </xf>
    <xf numFmtId="0" fontId="5" fillId="0" borderId="4" xfId="0" applyFont="1" applyBorder="1" applyAlignment="1">
      <alignment/>
    </xf>
    <xf numFmtId="0" fontId="0" fillId="6" borderId="3" xfId="0" applyFill="1" applyBorder="1" applyAlignment="1">
      <alignment/>
    </xf>
    <xf numFmtId="0" fontId="5" fillId="6" borderId="4" xfId="0" applyFont="1" applyFill="1" applyBorder="1" applyAlignment="1">
      <alignment/>
    </xf>
    <xf numFmtId="0" fontId="5" fillId="0" borderId="0" xfId="0" applyFont="1" applyAlignment="1">
      <alignment/>
    </xf>
    <xf numFmtId="0" fontId="5" fillId="0" borderId="0" xfId="0" applyFont="1" applyAlignment="1">
      <alignment vertical="center"/>
    </xf>
    <xf numFmtId="0" fontId="5" fillId="0" borderId="0" xfId="0" applyFont="1" applyAlignment="1">
      <alignment horizontal="center"/>
    </xf>
    <xf numFmtId="0" fontId="4" fillId="6" borderId="0" xfId="0" applyFont="1" applyFill="1" applyAlignment="1">
      <alignment/>
    </xf>
    <xf numFmtId="0" fontId="4" fillId="6" borderId="5" xfId="0" applyFont="1" applyFill="1" applyBorder="1" applyAlignment="1">
      <alignment/>
    </xf>
    <xf numFmtId="0" fontId="5" fillId="6" borderId="7" xfId="0" applyFont="1" applyFill="1" applyBorder="1" applyAlignment="1">
      <alignment/>
    </xf>
    <xf numFmtId="0" fontId="5" fillId="6" borderId="0" xfId="0" applyFont="1" applyFill="1" applyAlignment="1">
      <alignment/>
    </xf>
    <xf numFmtId="0" fontId="4" fillId="6" borderId="7" xfId="0" applyFont="1" applyFill="1" applyBorder="1" applyAlignment="1">
      <alignment/>
    </xf>
    <xf numFmtId="0" fontId="5" fillId="0" borderId="8" xfId="0" applyFont="1" applyFill="1" applyBorder="1" applyAlignment="1">
      <alignment/>
    </xf>
    <xf numFmtId="0" fontId="5" fillId="9" borderId="0" xfId="0" applyFont="1" applyFill="1" applyBorder="1" applyAlignment="1">
      <alignment horizontal="center"/>
    </xf>
    <xf numFmtId="0" fontId="5" fillId="9" borderId="0" xfId="0" applyFont="1" applyFill="1" applyBorder="1" applyAlignment="1">
      <alignment vertical="center"/>
    </xf>
    <xf numFmtId="0" fontId="4" fillId="9" borderId="0" xfId="0" applyFont="1" applyFill="1" applyBorder="1" applyAlignment="1">
      <alignment/>
    </xf>
    <xf numFmtId="0" fontId="5" fillId="10" borderId="9" xfId="0" applyFont="1" applyFill="1" applyBorder="1" applyAlignment="1">
      <alignment/>
    </xf>
    <xf numFmtId="0" fontId="5" fillId="10" borderId="8" xfId="0" applyFont="1" applyFill="1" applyBorder="1" applyAlignment="1">
      <alignment/>
    </xf>
    <xf numFmtId="0" fontId="5" fillId="10" borderId="10" xfId="0" applyFont="1" applyFill="1" applyBorder="1" applyAlignment="1">
      <alignment/>
    </xf>
    <xf numFmtId="0" fontId="0" fillId="9" borderId="0" xfId="0" applyFill="1" applyBorder="1" applyAlignment="1">
      <alignment/>
    </xf>
    <xf numFmtId="171" fontId="3" fillId="6" borderId="0" xfId="0" applyNumberFormat="1" applyFont="1" applyFill="1" applyBorder="1" applyAlignment="1">
      <alignment/>
    </xf>
    <xf numFmtId="9" fontId="0" fillId="6" borderId="0" xfId="0" applyNumberFormat="1" applyFill="1" applyBorder="1" applyAlignment="1">
      <alignment/>
    </xf>
    <xf numFmtId="1" fontId="0" fillId="6" borderId="5" xfId="0" applyNumberFormat="1" applyFont="1" applyFill="1" applyBorder="1" applyAlignment="1">
      <alignment/>
    </xf>
    <xf numFmtId="3" fontId="3" fillId="6" borderId="0" xfId="0" applyNumberFormat="1" applyFont="1" applyFill="1" applyBorder="1" applyAlignment="1">
      <alignment/>
    </xf>
    <xf numFmtId="1" fontId="3" fillId="6" borderId="0" xfId="0" applyNumberFormat="1" applyFont="1" applyFill="1" applyBorder="1" applyAlignment="1">
      <alignment/>
    </xf>
    <xf numFmtId="164" fontId="3" fillId="6" borderId="0" xfId="0" applyNumberFormat="1" applyFont="1" applyFill="1" applyBorder="1" applyAlignment="1">
      <alignment/>
    </xf>
    <xf numFmtId="0" fontId="0" fillId="11" borderId="3" xfId="0" applyFill="1" applyBorder="1" applyAlignment="1">
      <alignment/>
    </xf>
    <xf numFmtId="164" fontId="3" fillId="11" borderId="0" xfId="0" applyNumberFormat="1" applyFont="1" applyFill="1" applyBorder="1" applyAlignment="1">
      <alignment/>
    </xf>
    <xf numFmtId="0" fontId="0" fillId="11" borderId="0" xfId="0" applyFill="1" applyBorder="1" applyAlignment="1">
      <alignment/>
    </xf>
    <xf numFmtId="3" fontId="5" fillId="0" borderId="8" xfId="0" applyNumberFormat="1" applyFont="1" applyFill="1" applyBorder="1" applyAlignment="1">
      <alignment/>
    </xf>
    <xf numFmtId="0" fontId="0" fillId="11" borderId="5" xfId="0" applyFill="1" applyBorder="1" applyAlignment="1">
      <alignment/>
    </xf>
    <xf numFmtId="1" fontId="3" fillId="11" borderId="0" xfId="0" applyNumberFormat="1" applyFont="1" applyFill="1" applyBorder="1" applyAlignment="1">
      <alignment/>
    </xf>
    <xf numFmtId="0" fontId="0" fillId="11" borderId="0" xfId="0" applyFont="1" applyFill="1" applyBorder="1" applyAlignment="1">
      <alignment/>
    </xf>
    <xf numFmtId="0" fontId="0" fillId="11" borderId="3" xfId="0" applyFont="1" applyFill="1" applyBorder="1" applyAlignment="1">
      <alignment/>
    </xf>
    <xf numFmtId="0" fontId="0" fillId="11" borderId="5" xfId="0" applyFont="1" applyFill="1" applyBorder="1" applyAlignment="1">
      <alignment/>
    </xf>
    <xf numFmtId="0" fontId="0" fillId="11" borderId="11" xfId="0" applyFont="1" applyFill="1" applyBorder="1" applyAlignment="1">
      <alignment/>
    </xf>
    <xf numFmtId="0" fontId="0" fillId="11" borderId="4" xfId="0" applyFont="1" applyFill="1" applyBorder="1" applyAlignment="1">
      <alignment/>
    </xf>
    <xf numFmtId="0" fontId="0" fillId="11" borderId="6" xfId="0" applyFont="1" applyFill="1" applyBorder="1" applyAlignment="1">
      <alignment/>
    </xf>
    <xf numFmtId="0" fontId="0" fillId="0" borderId="5" xfId="0" applyBorder="1" applyAlignment="1">
      <alignment/>
    </xf>
    <xf numFmtId="0" fontId="5" fillId="0" borderId="0" xfId="0" applyFont="1" applyFill="1" applyBorder="1" applyAlignment="1">
      <alignment/>
    </xf>
    <xf numFmtId="9" fontId="5" fillId="0" borderId="8" xfId="0" applyNumberFormat="1" applyFont="1" applyFill="1" applyBorder="1" applyAlignment="1">
      <alignment/>
    </xf>
    <xf numFmtId="3" fontId="5" fillId="0" borderId="9" xfId="0" applyNumberFormat="1" applyFont="1" applyFill="1" applyBorder="1" applyAlignment="1">
      <alignment/>
    </xf>
    <xf numFmtId="3" fontId="5" fillId="0" borderId="10" xfId="0" applyNumberFormat="1" applyFont="1" applyFill="1" applyBorder="1" applyAlignment="1">
      <alignment/>
    </xf>
    <xf numFmtId="168" fontId="5" fillId="0" borderId="8" xfId="0" applyNumberFormat="1" applyFont="1" applyFill="1" applyBorder="1" applyAlignment="1">
      <alignment/>
    </xf>
    <xf numFmtId="3" fontId="4" fillId="6" borderId="0" xfId="0" applyNumberFormat="1" applyFont="1" applyFill="1" applyBorder="1" applyAlignment="1" applyProtection="1">
      <alignment vertical="center"/>
      <protection locked="0"/>
    </xf>
    <xf numFmtId="49" fontId="4" fillId="6" borderId="0" xfId="0" applyNumberFormat="1" applyFont="1" applyFill="1" applyBorder="1" applyAlignment="1">
      <alignment horizontal="right" vertical="center"/>
    </xf>
    <xf numFmtId="0" fontId="4" fillId="2" borderId="3" xfId="0" applyFont="1" applyFill="1" applyBorder="1" applyAlignment="1">
      <alignment vertical="center"/>
    </xf>
    <xf numFmtId="0" fontId="0" fillId="10" borderId="0" xfId="0" applyFill="1" applyAlignment="1">
      <alignment/>
    </xf>
    <xf numFmtId="0" fontId="0" fillId="9" borderId="3" xfId="0" applyFill="1" applyBorder="1" applyAlignment="1">
      <alignment/>
    </xf>
    <xf numFmtId="0" fontId="0" fillId="9" borderId="5" xfId="0" applyFill="1" applyBorder="1" applyAlignment="1">
      <alignment/>
    </xf>
    <xf numFmtId="3" fontId="3" fillId="9" borderId="0" xfId="0" applyNumberFormat="1" applyFont="1" applyFill="1" applyBorder="1" applyAlignment="1">
      <alignment/>
    </xf>
    <xf numFmtId="1" fontId="3" fillId="9" borderId="0" xfId="0" applyNumberFormat="1" applyFont="1" applyFill="1" applyBorder="1" applyAlignment="1">
      <alignment/>
    </xf>
    <xf numFmtId="9" fontId="0" fillId="9" borderId="0" xfId="0" applyNumberFormat="1" applyFill="1" applyBorder="1" applyAlignment="1">
      <alignment/>
    </xf>
    <xf numFmtId="1" fontId="0" fillId="9" borderId="5" xfId="0" applyNumberFormat="1" applyFont="1" applyFill="1" applyBorder="1" applyAlignment="1">
      <alignment/>
    </xf>
    <xf numFmtId="0" fontId="0" fillId="10" borderId="0" xfId="0" applyFont="1" applyFill="1" applyAlignment="1">
      <alignment vertical="center"/>
    </xf>
    <xf numFmtId="49" fontId="5" fillId="12" borderId="3" xfId="0" applyNumberFormat="1" applyFont="1" applyFill="1" applyBorder="1" applyAlignment="1">
      <alignment horizontal="left" vertical="top" wrapText="1" indent="3"/>
    </xf>
    <xf numFmtId="0" fontId="5" fillId="12" borderId="0" xfId="0" applyFont="1" applyFill="1" applyBorder="1" applyAlignment="1">
      <alignment vertical="center" wrapText="1" shrinkToFit="1"/>
    </xf>
    <xf numFmtId="3" fontId="4" fillId="12" borderId="0" xfId="0" applyNumberFormat="1" applyFont="1" applyFill="1" applyBorder="1" applyAlignment="1">
      <alignment vertical="center"/>
    </xf>
    <xf numFmtId="0" fontId="5" fillId="12" borderId="0" xfId="0" applyFont="1" applyFill="1" applyBorder="1" applyAlignment="1">
      <alignment vertical="center"/>
    </xf>
    <xf numFmtId="3" fontId="4" fillId="12" borderId="0" xfId="0" applyNumberFormat="1" applyFont="1" applyFill="1" applyBorder="1" applyAlignment="1">
      <alignment horizontal="right" vertical="center"/>
    </xf>
    <xf numFmtId="0" fontId="0" fillId="2" borderId="5" xfId="0" applyFill="1" applyBorder="1" applyAlignment="1">
      <alignment/>
    </xf>
    <xf numFmtId="0" fontId="3" fillId="10" borderId="0" xfId="0" applyFont="1" applyFill="1" applyAlignment="1">
      <alignment/>
    </xf>
    <xf numFmtId="49" fontId="0" fillId="10" borderId="0" xfId="0" applyNumberFormat="1" applyFill="1" applyAlignment="1">
      <alignment vertical="center"/>
    </xf>
    <xf numFmtId="0" fontId="3" fillId="10" borderId="0" xfId="0" applyFont="1" applyFill="1" applyAlignment="1">
      <alignment vertical="center"/>
    </xf>
    <xf numFmtId="0" fontId="0" fillId="10" borderId="0" xfId="0" applyFill="1" applyAlignment="1">
      <alignment vertical="center"/>
    </xf>
    <xf numFmtId="3" fontId="3" fillId="10" borderId="0" xfId="0" applyNumberFormat="1" applyFont="1" applyFill="1" applyAlignment="1">
      <alignment horizontal="right" vertical="center"/>
    </xf>
    <xf numFmtId="164" fontId="3" fillId="10" borderId="0" xfId="0" applyNumberFormat="1" applyFont="1" applyFill="1" applyAlignment="1">
      <alignment horizontal="right" vertical="center"/>
    </xf>
    <xf numFmtId="0" fontId="0" fillId="13" borderId="0" xfId="0" applyFill="1" applyAlignment="1">
      <alignment/>
    </xf>
    <xf numFmtId="0" fontId="0" fillId="14" borderId="0" xfId="0" applyFill="1" applyAlignment="1">
      <alignment/>
    </xf>
    <xf numFmtId="164" fontId="0" fillId="14" borderId="0" xfId="0" applyNumberFormat="1" applyFill="1" applyAlignment="1">
      <alignment/>
    </xf>
    <xf numFmtId="0" fontId="0" fillId="13" borderId="0" xfId="0" applyFont="1" applyFill="1" applyAlignment="1">
      <alignment/>
    </xf>
    <xf numFmtId="0" fontId="0" fillId="14" borderId="0" xfId="0" applyFont="1" applyFill="1" applyAlignment="1">
      <alignment/>
    </xf>
    <xf numFmtId="1" fontId="0" fillId="14" borderId="0" xfId="0" applyNumberFormat="1" applyFill="1" applyAlignment="1">
      <alignment/>
    </xf>
    <xf numFmtId="1" fontId="0" fillId="14" borderId="0" xfId="0" applyNumberFormat="1" applyFont="1" applyFill="1" applyAlignment="1">
      <alignment/>
    </xf>
    <xf numFmtId="164" fontId="0" fillId="14" borderId="0" xfId="0" applyNumberFormat="1" applyFont="1" applyFill="1" applyAlignment="1">
      <alignment/>
    </xf>
    <xf numFmtId="3" fontId="0" fillId="10" borderId="0" xfId="0" applyNumberFormat="1" applyFill="1" applyAlignment="1">
      <alignment vertical="center"/>
    </xf>
    <xf numFmtId="0" fontId="3" fillId="14" borderId="0" xfId="0" applyFont="1" applyFill="1" applyAlignment="1">
      <alignment vertical="center"/>
    </xf>
    <xf numFmtId="0" fontId="0" fillId="14" borderId="0" xfId="0" applyFill="1" applyAlignment="1">
      <alignment vertical="center"/>
    </xf>
    <xf numFmtId="3" fontId="3" fillId="14" borderId="0" xfId="0" applyNumberFormat="1" applyFont="1" applyFill="1" applyAlignment="1">
      <alignment horizontal="right" vertical="center"/>
    </xf>
    <xf numFmtId="164" fontId="3" fillId="14" borderId="0" xfId="0" applyNumberFormat="1" applyFont="1" applyFill="1" applyAlignment="1">
      <alignment horizontal="right" vertical="center"/>
    </xf>
    <xf numFmtId="0" fontId="5" fillId="12" borderId="8" xfId="0" applyFont="1" applyFill="1" applyBorder="1" applyAlignment="1">
      <alignment/>
    </xf>
    <xf numFmtId="3" fontId="5" fillId="12" borderId="8" xfId="0" applyNumberFormat="1" applyFont="1" applyFill="1" applyBorder="1" applyAlignment="1">
      <alignment/>
    </xf>
    <xf numFmtId="49" fontId="4" fillId="12" borderId="0" xfId="0" applyNumberFormat="1" applyFont="1" applyFill="1" applyBorder="1" applyAlignment="1">
      <alignment horizontal="right" vertical="center"/>
    </xf>
    <xf numFmtId="49" fontId="5" fillId="12" borderId="10" xfId="0" applyNumberFormat="1" applyFont="1" applyFill="1" applyBorder="1" applyAlignment="1">
      <alignment horizontal="right"/>
    </xf>
    <xf numFmtId="1" fontId="0" fillId="0" borderId="0" xfId="0" applyNumberFormat="1" applyAlignment="1">
      <alignment/>
    </xf>
    <xf numFmtId="1" fontId="0" fillId="0" borderId="0" xfId="0" applyNumberFormat="1" applyAlignment="1">
      <alignment horizontal="left"/>
    </xf>
    <xf numFmtId="0" fontId="4" fillId="6" borderId="0" xfId="0" applyFont="1" applyFill="1" applyBorder="1" applyAlignment="1">
      <alignment/>
    </xf>
    <xf numFmtId="0" fontId="5" fillId="6" borderId="0" xfId="0" applyFont="1" applyFill="1" applyBorder="1" applyAlignment="1">
      <alignment/>
    </xf>
    <xf numFmtId="0" fontId="5" fillId="6" borderId="12" xfId="0" applyFont="1" applyFill="1" applyBorder="1" applyAlignment="1">
      <alignment/>
    </xf>
    <xf numFmtId="0" fontId="5" fillId="6" borderId="7" xfId="0" applyFont="1" applyFill="1" applyBorder="1" applyAlignment="1">
      <alignment horizontal="right"/>
    </xf>
    <xf numFmtId="3" fontId="5" fillId="12" borderId="10" xfId="0" applyNumberFormat="1" applyFont="1" applyFill="1" applyBorder="1" applyAlignment="1">
      <alignment horizontal="right"/>
    </xf>
    <xf numFmtId="0" fontId="0" fillId="6" borderId="0" xfId="0" applyFill="1" applyAlignment="1">
      <alignment/>
    </xf>
    <xf numFmtId="1" fontId="0" fillId="6" borderId="0" xfId="0" applyNumberFormat="1" applyFill="1" applyBorder="1" applyAlignment="1">
      <alignment horizontal="left"/>
    </xf>
    <xf numFmtId="1" fontId="0" fillId="6" borderId="0" xfId="0" applyNumberFormat="1" applyFill="1" applyBorder="1" applyAlignment="1">
      <alignment/>
    </xf>
    <xf numFmtId="1" fontId="0" fillId="12" borderId="0" xfId="0" applyNumberFormat="1" applyFill="1" applyBorder="1" applyAlignment="1">
      <alignment horizontal="left"/>
    </xf>
    <xf numFmtId="0" fontId="3" fillId="6" borderId="3" xfId="0" applyFont="1" applyFill="1" applyBorder="1" applyAlignment="1">
      <alignment/>
    </xf>
    <xf numFmtId="3" fontId="0" fillId="6" borderId="0" xfId="0" applyNumberFormat="1" applyFill="1" applyAlignment="1">
      <alignment/>
    </xf>
    <xf numFmtId="1" fontId="0" fillId="12" borderId="0" xfId="0" applyNumberFormat="1" applyFill="1" applyBorder="1" applyAlignment="1">
      <alignment horizontal="right"/>
    </xf>
    <xf numFmtId="1" fontId="0" fillId="6" borderId="0" xfId="0" applyNumberFormat="1" applyFill="1" applyBorder="1" applyAlignment="1">
      <alignment horizontal="right"/>
    </xf>
    <xf numFmtId="0" fontId="0" fillId="12" borderId="0" xfId="0" applyFill="1" applyAlignment="1">
      <alignment/>
    </xf>
    <xf numFmtId="0" fontId="0" fillId="12" borderId="0" xfId="0" applyFill="1" applyAlignment="1">
      <alignment/>
    </xf>
    <xf numFmtId="1" fontId="3" fillId="12" borderId="0" xfId="0" applyNumberFormat="1" applyFont="1" applyFill="1" applyBorder="1" applyAlignment="1">
      <alignment/>
    </xf>
    <xf numFmtId="0" fontId="3" fillId="6" borderId="0" xfId="0" applyFont="1" applyFill="1" applyAlignment="1">
      <alignment/>
    </xf>
    <xf numFmtId="0" fontId="3" fillId="12" borderId="0" xfId="0" applyFont="1" applyFill="1" applyBorder="1" applyAlignment="1">
      <alignment/>
    </xf>
    <xf numFmtId="0" fontId="0" fillId="6" borderId="0" xfId="0" applyFill="1" applyAlignment="1">
      <alignment/>
    </xf>
    <xf numFmtId="0" fontId="10" fillId="5" borderId="0" xfId="0" applyFont="1" applyFill="1" applyAlignment="1">
      <alignment/>
    </xf>
    <xf numFmtId="0" fontId="22" fillId="5" borderId="0" xfId="0" applyFont="1" applyFill="1" applyAlignment="1">
      <alignment vertical="center"/>
    </xf>
    <xf numFmtId="3" fontId="0" fillId="6" borderId="0" xfId="0" applyNumberFormat="1" applyFill="1" applyAlignment="1">
      <alignment/>
    </xf>
    <xf numFmtId="0" fontId="0" fillId="6" borderId="11" xfId="0" applyFill="1" applyBorder="1" applyAlignment="1">
      <alignment/>
    </xf>
    <xf numFmtId="0" fontId="4" fillId="2" borderId="0" xfId="0" applyFont="1" applyFill="1" applyBorder="1" applyAlignment="1">
      <alignment vertical="center"/>
    </xf>
    <xf numFmtId="0" fontId="4" fillId="2" borderId="3" xfId="0" applyFont="1" applyFill="1" applyBorder="1" applyAlignment="1">
      <alignment horizontal="left" vertical="center"/>
    </xf>
    <xf numFmtId="0" fontId="0" fillId="0" borderId="0" xfId="0" applyAlignment="1">
      <alignment horizontal="left" vertical="center"/>
    </xf>
    <xf numFmtId="0" fontId="0" fillId="0" borderId="5" xfId="0" applyBorder="1" applyAlignment="1">
      <alignment horizontal="left" vertical="center"/>
    </xf>
    <xf numFmtId="0" fontId="4" fillId="2" borderId="3" xfId="0" applyFont="1" applyFill="1" applyBorder="1" applyAlignment="1">
      <alignment vertical="center"/>
    </xf>
    <xf numFmtId="0" fontId="0" fillId="0" borderId="0" xfId="0" applyAlignment="1">
      <alignment vertical="center"/>
    </xf>
    <xf numFmtId="0" fontId="0" fillId="0" borderId="5" xfId="0" applyBorder="1" applyAlignment="1">
      <alignment vertical="center"/>
    </xf>
    <xf numFmtId="0" fontId="4" fillId="2" borderId="1" xfId="0" applyFont="1" applyFill="1" applyBorder="1" applyAlignment="1">
      <alignment horizontal="left" vertical="center"/>
    </xf>
    <xf numFmtId="0" fontId="0" fillId="0" borderId="2" xfId="0" applyBorder="1" applyAlignment="1">
      <alignment horizontal="left" vertical="center"/>
    </xf>
    <xf numFmtId="0" fontId="0" fillId="0" borderId="13" xfId="0" applyBorder="1" applyAlignment="1">
      <alignment horizontal="left" vertical="center"/>
    </xf>
    <xf numFmtId="0" fontId="4" fillId="14" borderId="3" xfId="0" applyFont="1" applyFill="1" applyBorder="1" applyAlignment="1">
      <alignment horizontal="left" vertical="center"/>
    </xf>
    <xf numFmtId="0" fontId="0" fillId="10" borderId="0" xfId="0" applyFill="1" applyAlignment="1">
      <alignment horizontal="left" vertical="center"/>
    </xf>
    <xf numFmtId="0" fontId="0" fillId="10" borderId="5" xfId="0" applyFill="1" applyBorder="1" applyAlignment="1">
      <alignment horizontal="left" vertical="center"/>
    </xf>
    <xf numFmtId="0" fontId="3" fillId="12" borderId="0" xfId="0" applyFont="1" applyFill="1" applyAlignment="1">
      <alignment horizontal="right"/>
    </xf>
    <xf numFmtId="3" fontId="0" fillId="12" borderId="0" xfId="0" applyNumberFormat="1" applyFill="1" applyAlignment="1">
      <alignment/>
    </xf>
    <xf numFmtId="0" fontId="0" fillId="12" borderId="0" xfId="0" applyFill="1" applyAlignment="1">
      <alignment/>
    </xf>
    <xf numFmtId="0" fontId="3" fillId="12" borderId="0" xfId="0" applyFont="1" applyFill="1" applyBorder="1" applyAlignment="1">
      <alignment/>
    </xf>
    <xf numFmtId="0" fontId="2" fillId="0" borderId="0" xfId="0" applyFont="1" applyAlignment="1">
      <alignment vertical="center"/>
    </xf>
    <xf numFmtId="3" fontId="3" fillId="0" borderId="0" xfId="0" applyNumberFormat="1" applyFont="1" applyAlignment="1">
      <alignment horizontal="center" vertical="center" wrapText="1"/>
    </xf>
    <xf numFmtId="49" fontId="10" fillId="0" borderId="0" xfId="0" applyNumberFormat="1" applyFont="1" applyAlignment="1">
      <alignment vertical="center"/>
    </xf>
    <xf numFmtId="49" fontId="0" fillId="0" borderId="0" xfId="0" applyNumberFormat="1" applyAlignment="1">
      <alignment horizontal="left" vertic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20"/>
      <c:depthPercent val="100"/>
      <c:rAngAx val="1"/>
    </c:view3D>
    <c:plotArea>
      <c:layout>
        <c:manualLayout>
          <c:xMode val="edge"/>
          <c:yMode val="edge"/>
          <c:x val="0.03275"/>
          <c:y val="0.05125"/>
          <c:w val="0.8275"/>
          <c:h val="0.94875"/>
        </c:manualLayout>
      </c:layout>
      <c:bar3DChart>
        <c:barDir val="col"/>
        <c:grouping val="stacked"/>
        <c:varyColors val="0"/>
        <c:ser>
          <c:idx val="0"/>
          <c:order val="0"/>
          <c:tx>
            <c:strRef>
              <c:f>Workload!$C$12</c:f>
              <c:strCache>
                <c:ptCount val="1"/>
                <c:pt idx="0">
                  <c:v>DP</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Workload!$D$12:$AB$12</c:f>
              <c:numCache>
                <c:ptCount val="25"/>
                <c:pt idx="1">
                  <c:v>0</c:v>
                </c:pt>
                <c:pt idx="2">
                  <c:v>520.8333333333334</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hape val="box"/>
        </c:ser>
        <c:ser>
          <c:idx val="1"/>
          <c:order val="1"/>
          <c:tx>
            <c:strRef>
              <c:f>Workload!$C$13</c:f>
              <c:strCache>
                <c:ptCount val="1"/>
                <c:pt idx="0">
                  <c:v>SNP</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Workload!$D$13:$AB$13</c:f>
              <c:numCache>
                <c:ptCount val="25"/>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hape val="box"/>
        </c:ser>
        <c:ser>
          <c:idx val="2"/>
          <c:order val="2"/>
          <c:tx>
            <c:strRef>
              <c:f>Workload!$C$14</c:f>
              <c:strCache>
                <c:ptCount val="1"/>
                <c:pt idx="0">
                  <c:v>DP User</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Workload!$D$14:$AB$14</c:f>
              <c:numCache>
                <c:ptCount val="25"/>
                <c:pt idx="1">
                  <c:v>0</c:v>
                </c:pt>
                <c:pt idx="2">
                  <c:v>0</c:v>
                </c:pt>
                <c:pt idx="3">
                  <c:v>0</c:v>
                </c:pt>
                <c:pt idx="4">
                  <c:v>0</c:v>
                </c:pt>
                <c:pt idx="5">
                  <c:v>0</c:v>
                </c:pt>
                <c:pt idx="6">
                  <c:v>0</c:v>
                </c:pt>
                <c:pt idx="7">
                  <c:v>0</c:v>
                </c:pt>
                <c:pt idx="8">
                  <c:v>0</c:v>
                </c:pt>
                <c:pt idx="9">
                  <c:v>642.4242424242425</c:v>
                </c:pt>
                <c:pt idx="10">
                  <c:v>642.4242424242425</c:v>
                </c:pt>
                <c:pt idx="11">
                  <c:v>642.4242424242425</c:v>
                </c:pt>
                <c:pt idx="12">
                  <c:v>642.4242424242425</c:v>
                </c:pt>
                <c:pt idx="13">
                  <c:v>642.4242424242425</c:v>
                </c:pt>
                <c:pt idx="14">
                  <c:v>642.4242424242425</c:v>
                </c:pt>
                <c:pt idx="15">
                  <c:v>642.4242424242425</c:v>
                </c:pt>
                <c:pt idx="16">
                  <c:v>642.4242424242425</c:v>
                </c:pt>
                <c:pt idx="17">
                  <c:v>642.4242424242425</c:v>
                </c:pt>
                <c:pt idx="18">
                  <c:v>0</c:v>
                </c:pt>
                <c:pt idx="19">
                  <c:v>0</c:v>
                </c:pt>
                <c:pt idx="20">
                  <c:v>0</c:v>
                </c:pt>
                <c:pt idx="21">
                  <c:v>0</c:v>
                </c:pt>
                <c:pt idx="22">
                  <c:v>0</c:v>
                </c:pt>
                <c:pt idx="23">
                  <c:v>0</c:v>
                </c:pt>
                <c:pt idx="24">
                  <c:v>0</c:v>
                </c:pt>
              </c:numCache>
            </c:numRef>
          </c:val>
          <c:shape val="box"/>
        </c:ser>
        <c:ser>
          <c:idx val="3"/>
          <c:order val="3"/>
          <c:tx>
            <c:strRef>
              <c:f>Workload!$C$15</c:f>
              <c:strCache>
                <c:ptCount val="1"/>
                <c:pt idx="0">
                  <c:v>SNP User</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Workload!$D$15:$AB$15</c:f>
              <c:numCache>
                <c:ptCount val="25"/>
                <c:pt idx="1">
                  <c:v>0</c:v>
                </c:pt>
                <c:pt idx="2">
                  <c:v>0</c:v>
                </c:pt>
                <c:pt idx="3">
                  <c:v>0</c:v>
                </c:pt>
                <c:pt idx="4">
                  <c:v>0</c:v>
                </c:pt>
                <c:pt idx="5">
                  <c:v>0</c:v>
                </c:pt>
                <c:pt idx="6">
                  <c:v>0</c:v>
                </c:pt>
                <c:pt idx="7">
                  <c:v>0</c:v>
                </c:pt>
                <c:pt idx="8">
                  <c:v>0</c:v>
                </c:pt>
                <c:pt idx="9">
                  <c:v>0</c:v>
                </c:pt>
                <c:pt idx="10">
                  <c:v>642.4242424242425</c:v>
                </c:pt>
                <c:pt idx="11">
                  <c:v>642.4242424242425</c:v>
                </c:pt>
                <c:pt idx="12">
                  <c:v>642.4242424242425</c:v>
                </c:pt>
                <c:pt idx="13">
                  <c:v>642.4242424242425</c:v>
                </c:pt>
                <c:pt idx="14">
                  <c:v>642.4242424242425</c:v>
                </c:pt>
                <c:pt idx="15">
                  <c:v>642.4242424242425</c:v>
                </c:pt>
                <c:pt idx="16">
                  <c:v>642.4242424242425</c:v>
                </c:pt>
                <c:pt idx="17">
                  <c:v>0</c:v>
                </c:pt>
                <c:pt idx="18">
                  <c:v>0</c:v>
                </c:pt>
                <c:pt idx="19">
                  <c:v>0</c:v>
                </c:pt>
                <c:pt idx="20">
                  <c:v>0</c:v>
                </c:pt>
                <c:pt idx="21">
                  <c:v>0</c:v>
                </c:pt>
                <c:pt idx="22">
                  <c:v>0</c:v>
                </c:pt>
                <c:pt idx="23">
                  <c:v>0</c:v>
                </c:pt>
                <c:pt idx="24">
                  <c:v>0</c:v>
                </c:pt>
              </c:numCache>
            </c:numRef>
          </c:val>
          <c:shape val="box"/>
        </c:ser>
        <c:ser>
          <c:idx val="4"/>
          <c:order val="4"/>
          <c:tx>
            <c:strRef>
              <c:f>Workload!$C$16</c:f>
              <c:strCache>
                <c:ptCount val="1"/>
                <c:pt idx="0">
                  <c:v>PPDS User</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Workload!$D$16:$AB$16</c:f>
              <c:numCache>
                <c:ptCount val="25"/>
                <c:pt idx="1">
                  <c:v>0</c:v>
                </c:pt>
                <c:pt idx="2">
                  <c:v>0</c:v>
                </c:pt>
                <c:pt idx="3">
                  <c:v>0</c:v>
                </c:pt>
                <c:pt idx="4">
                  <c:v>0</c:v>
                </c:pt>
                <c:pt idx="5">
                  <c:v>0</c:v>
                </c:pt>
                <c:pt idx="6">
                  <c:v>0</c:v>
                </c:pt>
                <c:pt idx="7">
                  <c:v>0</c:v>
                </c:pt>
                <c:pt idx="8">
                  <c:v>0</c:v>
                </c:pt>
                <c:pt idx="9">
                  <c:v>0</c:v>
                </c:pt>
                <c:pt idx="10">
                  <c:v>0</c:v>
                </c:pt>
                <c:pt idx="11">
                  <c:v>963.6363636363635</c:v>
                </c:pt>
                <c:pt idx="12">
                  <c:v>963.6363636363635</c:v>
                </c:pt>
                <c:pt idx="13">
                  <c:v>963.6363636363635</c:v>
                </c:pt>
                <c:pt idx="14">
                  <c:v>963.6363636363635</c:v>
                </c:pt>
                <c:pt idx="15">
                  <c:v>963.6363636363635</c:v>
                </c:pt>
                <c:pt idx="16">
                  <c:v>0</c:v>
                </c:pt>
                <c:pt idx="17">
                  <c:v>0</c:v>
                </c:pt>
                <c:pt idx="18">
                  <c:v>0</c:v>
                </c:pt>
                <c:pt idx="19">
                  <c:v>0</c:v>
                </c:pt>
                <c:pt idx="20">
                  <c:v>0</c:v>
                </c:pt>
                <c:pt idx="21">
                  <c:v>0</c:v>
                </c:pt>
                <c:pt idx="22">
                  <c:v>0</c:v>
                </c:pt>
                <c:pt idx="23">
                  <c:v>0</c:v>
                </c:pt>
                <c:pt idx="24">
                  <c:v>0</c:v>
                </c:pt>
              </c:numCache>
            </c:numRef>
          </c:val>
          <c:shape val="box"/>
        </c:ser>
        <c:ser>
          <c:idx val="5"/>
          <c:order val="5"/>
          <c:tx>
            <c:strRef>
              <c:f>Workload!$C$17</c:f>
              <c:strCache>
                <c:ptCount val="1"/>
                <c:pt idx="0">
                  <c:v>ATP User</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Workload!$D$17:$AB$17</c:f>
              <c:numCache>
                <c:ptCount val="25"/>
                <c:pt idx="1">
                  <c:v>0</c:v>
                </c:pt>
                <c:pt idx="2">
                  <c:v>0</c:v>
                </c:pt>
                <c:pt idx="3">
                  <c:v>0</c:v>
                </c:pt>
                <c:pt idx="4">
                  <c:v>0</c:v>
                </c:pt>
                <c:pt idx="5">
                  <c:v>0</c:v>
                </c:pt>
                <c:pt idx="6">
                  <c:v>0</c:v>
                </c:pt>
                <c:pt idx="7">
                  <c:v>0</c:v>
                </c:pt>
                <c:pt idx="8">
                  <c:v>0</c:v>
                </c:pt>
                <c:pt idx="9">
                  <c:v>0</c:v>
                </c:pt>
                <c:pt idx="10">
                  <c:v>0</c:v>
                </c:pt>
                <c:pt idx="11">
                  <c:v>0</c:v>
                </c:pt>
                <c:pt idx="12">
                  <c:v>883.3333333333333</c:v>
                </c:pt>
                <c:pt idx="13">
                  <c:v>883.3333333333333</c:v>
                </c:pt>
                <c:pt idx="14">
                  <c:v>883.3333333333333</c:v>
                </c:pt>
                <c:pt idx="15">
                  <c:v>0</c:v>
                </c:pt>
                <c:pt idx="16">
                  <c:v>0</c:v>
                </c:pt>
                <c:pt idx="17">
                  <c:v>0</c:v>
                </c:pt>
                <c:pt idx="18">
                  <c:v>0</c:v>
                </c:pt>
                <c:pt idx="19">
                  <c:v>0</c:v>
                </c:pt>
                <c:pt idx="20">
                  <c:v>0</c:v>
                </c:pt>
                <c:pt idx="21">
                  <c:v>0</c:v>
                </c:pt>
                <c:pt idx="22">
                  <c:v>0</c:v>
                </c:pt>
                <c:pt idx="23">
                  <c:v>0</c:v>
                </c:pt>
                <c:pt idx="24">
                  <c:v>0</c:v>
                </c:pt>
              </c:numCache>
            </c:numRef>
          </c:val>
          <c:shape val="box"/>
        </c:ser>
        <c:overlap val="100"/>
        <c:shape val="box"/>
        <c:axId val="65047060"/>
        <c:axId val="48552629"/>
      </c:bar3DChart>
      <c:catAx>
        <c:axId val="65047060"/>
        <c:scaling>
          <c:orientation val="minMax"/>
        </c:scaling>
        <c:axPos val="b"/>
        <c:delete val="0"/>
        <c:numFmt formatCode="General" sourceLinked="1"/>
        <c:majorTickMark val="out"/>
        <c:minorTickMark val="none"/>
        <c:tickLblPos val="low"/>
        <c:crossAx val="48552629"/>
        <c:crosses val="autoZero"/>
        <c:auto val="0"/>
        <c:lblOffset val="100"/>
        <c:noMultiLvlLbl val="0"/>
      </c:catAx>
      <c:valAx>
        <c:axId val="48552629"/>
        <c:scaling>
          <c:orientation val="minMax"/>
        </c:scaling>
        <c:axPos val="l"/>
        <c:majorGridlines/>
        <c:delete val="0"/>
        <c:numFmt formatCode="General" sourceLinked="1"/>
        <c:majorTickMark val="out"/>
        <c:minorTickMark val="none"/>
        <c:tickLblPos val="nextTo"/>
        <c:crossAx val="65047060"/>
        <c:crossesAt val="1"/>
        <c:crossBetween val="between"/>
        <c:dispUnits/>
      </c:valAx>
      <c:spPr>
        <a:noFill/>
        <a:ln>
          <a:noFill/>
        </a:ln>
      </c:spPr>
    </c:plotArea>
    <c:legend>
      <c:legendPos val="r"/>
      <c:layout>
        <c:manualLayout>
          <c:xMode val="edge"/>
          <c:yMode val="edge"/>
          <c:x val="0.8615"/>
          <c:y val="0.33775"/>
        </c:manualLayout>
      </c:layout>
      <c:overlay val="0"/>
    </c:legend>
    <c:floo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txPr>
    <a:bodyPr vert="horz" rot="0"/>
    <a:lstStyle/>
    <a:p>
      <a:pPr>
        <a:defRPr lang="en-US" cap="none" sz="97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20"/>
      <c:depthPercent val="100"/>
      <c:rAngAx val="1"/>
    </c:view3D>
    <c:plotArea>
      <c:layout>
        <c:manualLayout>
          <c:xMode val="edge"/>
          <c:yMode val="edge"/>
          <c:x val="0.03275"/>
          <c:y val="0.0515"/>
          <c:w val="0.82725"/>
          <c:h val="0.9485"/>
        </c:manualLayout>
      </c:layout>
      <c:bar3DChart>
        <c:barDir val="col"/>
        <c:grouping val="stacked"/>
        <c:varyColors val="0"/>
        <c:ser>
          <c:idx val="0"/>
          <c:order val="0"/>
          <c:tx>
            <c:strRef>
              <c:f>Workload!$C$12</c:f>
              <c:strCache>
                <c:ptCount val="1"/>
                <c:pt idx="0">
                  <c:v>DP</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Workload!$D$12:$AB$12</c:f>
              <c:numCache>
                <c:ptCount val="25"/>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hape val="box"/>
        </c:ser>
        <c:ser>
          <c:idx val="1"/>
          <c:order val="1"/>
          <c:tx>
            <c:strRef>
              <c:f>Workload!$C$13</c:f>
              <c:strCache>
                <c:ptCount val="1"/>
                <c:pt idx="0">
                  <c:v>SNP</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Workload!$D$13:$AB$13</c:f>
              <c:numCache>
                <c:ptCount val="25"/>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hape val="box"/>
        </c:ser>
        <c:ser>
          <c:idx val="2"/>
          <c:order val="2"/>
          <c:tx>
            <c:strRef>
              <c:f>Workload!$C$14</c:f>
              <c:strCache>
                <c:ptCount val="1"/>
                <c:pt idx="0">
                  <c:v>DP User</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Workload!$D$14:$AB$14</c:f>
              <c:numCache>
                <c:ptCount val="25"/>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hape val="box"/>
        </c:ser>
        <c:ser>
          <c:idx val="3"/>
          <c:order val="3"/>
          <c:tx>
            <c:strRef>
              <c:f>Workload!$C$15</c:f>
              <c:strCache>
                <c:ptCount val="1"/>
                <c:pt idx="0">
                  <c:v>SNP User</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Workload!$D$15:$AB$15</c:f>
              <c:numCache>
                <c:ptCount val="25"/>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hape val="box"/>
        </c:ser>
        <c:ser>
          <c:idx val="4"/>
          <c:order val="4"/>
          <c:tx>
            <c:strRef>
              <c:f>Workload!$C$16</c:f>
              <c:strCache>
                <c:ptCount val="1"/>
                <c:pt idx="0">
                  <c:v>PPDS User</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Workload!$D$16:$AB$16</c:f>
              <c:numCache>
                <c:ptCount val="25"/>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hape val="box"/>
        </c:ser>
        <c:ser>
          <c:idx val="5"/>
          <c:order val="5"/>
          <c:tx>
            <c:strRef>
              <c:f>Workload!$C$17</c:f>
              <c:strCache>
                <c:ptCount val="1"/>
                <c:pt idx="0">
                  <c:v>ATP User</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Workload!$D$17:$AB$17</c:f>
              <c:numCache>
                <c:ptCount val="25"/>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hape val="box"/>
        </c:ser>
        <c:overlap val="100"/>
        <c:shape val="box"/>
        <c:axId val="34320478"/>
        <c:axId val="40448847"/>
      </c:bar3DChart>
      <c:catAx>
        <c:axId val="34320478"/>
        <c:scaling>
          <c:orientation val="minMax"/>
        </c:scaling>
        <c:axPos val="b"/>
        <c:delete val="0"/>
        <c:numFmt formatCode="General" sourceLinked="1"/>
        <c:majorTickMark val="out"/>
        <c:minorTickMark val="none"/>
        <c:tickLblPos val="low"/>
        <c:crossAx val="40448847"/>
        <c:crosses val="autoZero"/>
        <c:auto val="0"/>
        <c:lblOffset val="100"/>
        <c:noMultiLvlLbl val="0"/>
      </c:catAx>
      <c:valAx>
        <c:axId val="40448847"/>
        <c:scaling>
          <c:orientation val="minMax"/>
        </c:scaling>
        <c:axPos val="l"/>
        <c:majorGridlines/>
        <c:delete val="0"/>
        <c:numFmt formatCode="General" sourceLinked="1"/>
        <c:majorTickMark val="out"/>
        <c:minorTickMark val="none"/>
        <c:tickLblPos val="nextTo"/>
        <c:crossAx val="34320478"/>
        <c:crossesAt val="1"/>
        <c:crossBetween val="between"/>
        <c:dispUnits/>
      </c:valAx>
      <c:spPr>
        <a:noFill/>
        <a:ln>
          <a:noFill/>
        </a:ln>
      </c:spPr>
    </c:plotArea>
    <c:legend>
      <c:legendPos val="r"/>
      <c:layout>
        <c:manualLayout>
          <c:xMode val="edge"/>
          <c:yMode val="edge"/>
          <c:x val="0.86125"/>
          <c:y val="0.336"/>
        </c:manualLayout>
      </c:layout>
      <c:overlay val="0"/>
    </c:legend>
    <c:floo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txPr>
    <a:bodyPr vert="horz" rot="0"/>
    <a:lstStyle/>
    <a:p>
      <a:pPr>
        <a:defRPr lang="en-US" cap="none" sz="97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62</xdr:row>
      <xdr:rowOff>114300</xdr:rowOff>
    </xdr:from>
    <xdr:to>
      <xdr:col>6</xdr:col>
      <xdr:colOff>1628775</xdr:colOff>
      <xdr:row>86</xdr:row>
      <xdr:rowOff>9525</xdr:rowOff>
    </xdr:to>
    <xdr:graphicFrame>
      <xdr:nvGraphicFramePr>
        <xdr:cNvPr id="1" name="Chart 139"/>
        <xdr:cNvGraphicFramePr/>
      </xdr:nvGraphicFramePr>
      <xdr:xfrm>
        <a:off x="1219200" y="10982325"/>
        <a:ext cx="6343650" cy="37814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295275</xdr:colOff>
      <xdr:row>23</xdr:row>
      <xdr:rowOff>66675</xdr:rowOff>
    </xdr:from>
    <xdr:to>
      <xdr:col>16</xdr:col>
      <xdr:colOff>104775</xdr:colOff>
      <xdr:row>23</xdr:row>
      <xdr:rowOff>3838575</xdr:rowOff>
    </xdr:to>
    <xdr:graphicFrame>
      <xdr:nvGraphicFramePr>
        <xdr:cNvPr id="1" name="Chart 1"/>
        <xdr:cNvGraphicFramePr/>
      </xdr:nvGraphicFramePr>
      <xdr:xfrm>
        <a:off x="1057275" y="4095750"/>
        <a:ext cx="6334125" cy="37719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E6"/>
  <sheetViews>
    <sheetView workbookViewId="0" topLeftCell="A1">
      <selection activeCell="B1" sqref="B1"/>
    </sheetView>
  </sheetViews>
  <sheetFormatPr defaultColWidth="9.140625" defaultRowHeight="12.75"/>
  <cols>
    <col min="2" max="2" width="104.140625" style="0" customWidth="1"/>
    <col min="5" max="5" width="8.7109375" style="0" customWidth="1"/>
  </cols>
  <sheetData>
    <row r="1" spans="1:5" ht="45" customHeight="1">
      <c r="A1" s="106"/>
      <c r="B1" s="107" t="s">
        <v>495</v>
      </c>
      <c r="C1" s="108"/>
      <c r="D1" s="108"/>
      <c r="E1" s="109"/>
    </row>
    <row r="2" spans="1:5" ht="18">
      <c r="A2" s="110"/>
      <c r="B2" s="111"/>
      <c r="C2" s="112"/>
      <c r="D2" s="112"/>
      <c r="E2" s="113"/>
    </row>
    <row r="3" spans="1:5" ht="12.75">
      <c r="A3" s="114"/>
      <c r="B3" s="115"/>
      <c r="C3" s="116"/>
      <c r="D3" s="115"/>
      <c r="E3" s="113"/>
    </row>
    <row r="4" spans="1:5" ht="23.25" customHeight="1">
      <c r="A4" s="110"/>
      <c r="B4" s="117" t="s">
        <v>336</v>
      </c>
      <c r="C4" s="116"/>
      <c r="D4" s="118"/>
      <c r="E4" s="113"/>
    </row>
    <row r="5" spans="1:5" ht="27.75" customHeight="1">
      <c r="A5" s="114"/>
      <c r="B5" s="115"/>
      <c r="C5" s="116"/>
      <c r="D5" s="115"/>
      <c r="E5" s="113"/>
    </row>
    <row r="6" spans="1:5" ht="87" customHeight="1">
      <c r="A6" s="114"/>
      <c r="B6" s="119" t="s">
        <v>337</v>
      </c>
      <c r="C6" s="116"/>
      <c r="D6" s="115"/>
      <c r="E6" s="113"/>
    </row>
    <row r="7" ht="12.75" customHeight="1"/>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E51"/>
  <sheetViews>
    <sheetView tabSelected="1" workbookViewId="0" topLeftCell="A1">
      <selection activeCell="D14" sqref="D14"/>
    </sheetView>
  </sheetViews>
  <sheetFormatPr defaultColWidth="9.140625" defaultRowHeight="12.75"/>
  <cols>
    <col min="1" max="1" width="12.140625" style="0" customWidth="1"/>
    <col min="2" max="2" width="90.421875" style="0" customWidth="1"/>
    <col min="3" max="3" width="17.00390625" style="0" customWidth="1"/>
    <col min="4" max="4" width="13.28125" style="0" customWidth="1"/>
  </cols>
  <sheetData>
    <row r="1" spans="1:5" ht="44.25" customHeight="1">
      <c r="A1" s="120"/>
      <c r="B1" s="121" t="s">
        <v>338</v>
      </c>
      <c r="C1" s="122"/>
      <c r="D1" s="122"/>
      <c r="E1" s="122"/>
    </row>
    <row r="2" spans="1:5" ht="28.5" customHeight="1">
      <c r="A2" s="123"/>
      <c r="B2" s="124" t="s">
        <v>339</v>
      </c>
      <c r="C2" s="125"/>
      <c r="D2" s="125"/>
      <c r="E2" s="125"/>
    </row>
    <row r="3" spans="1:5" ht="28.5" customHeight="1">
      <c r="A3" s="110"/>
      <c r="B3" s="126" t="s">
        <v>340</v>
      </c>
      <c r="C3" s="152" t="s">
        <v>401</v>
      </c>
      <c r="D3" s="152" t="s">
        <v>405</v>
      </c>
      <c r="E3" s="153"/>
    </row>
    <row r="4" spans="1:5" ht="15">
      <c r="A4" s="110"/>
      <c r="B4" s="128" t="s">
        <v>341</v>
      </c>
      <c r="C4" s="129"/>
      <c r="D4" s="113"/>
      <c r="E4" s="153"/>
    </row>
    <row r="5" spans="1:5" ht="19.5" customHeight="1">
      <c r="A5" s="130" t="s">
        <v>342</v>
      </c>
      <c r="B5" s="131" t="s">
        <v>343</v>
      </c>
      <c r="C5" s="132">
        <v>100000</v>
      </c>
      <c r="D5" s="195">
        <v>0</v>
      </c>
      <c r="E5" s="153"/>
    </row>
    <row r="6" spans="1:5" ht="19.5" customHeight="1">
      <c r="A6" s="133" t="s">
        <v>344</v>
      </c>
      <c r="B6" s="134" t="s">
        <v>345</v>
      </c>
      <c r="C6" s="127">
        <v>10</v>
      </c>
      <c r="D6" s="166">
        <v>0</v>
      </c>
      <c r="E6" s="153"/>
    </row>
    <row r="7" spans="1:5" ht="19.5" customHeight="1">
      <c r="A7" s="133" t="s">
        <v>346</v>
      </c>
      <c r="B7" s="134" t="s">
        <v>347</v>
      </c>
      <c r="C7" s="199" t="s">
        <v>448</v>
      </c>
      <c r="D7" s="194">
        <v>0</v>
      </c>
      <c r="E7" s="153"/>
    </row>
    <row r="8" spans="1:5" ht="19.5" customHeight="1">
      <c r="A8" s="133" t="s">
        <v>348</v>
      </c>
      <c r="B8" s="134" t="s">
        <v>349</v>
      </c>
      <c r="C8" s="135">
        <v>104</v>
      </c>
      <c r="D8" s="166">
        <v>0</v>
      </c>
      <c r="E8" s="153"/>
    </row>
    <row r="9" spans="1:5" ht="19.5" customHeight="1">
      <c r="A9" s="133" t="s">
        <v>350</v>
      </c>
      <c r="B9" s="134" t="s">
        <v>351</v>
      </c>
      <c r="C9" s="127">
        <v>104</v>
      </c>
      <c r="D9" s="166">
        <v>0</v>
      </c>
      <c r="E9" s="153"/>
    </row>
    <row r="10" spans="1:5" ht="19.5" customHeight="1">
      <c r="A10" s="133" t="s">
        <v>352</v>
      </c>
      <c r="B10" s="134" t="s">
        <v>485</v>
      </c>
      <c r="C10" s="127">
        <v>5</v>
      </c>
      <c r="D10" s="166">
        <v>0</v>
      </c>
      <c r="E10" s="153"/>
    </row>
    <row r="11" spans="1:5" ht="19.5" customHeight="1">
      <c r="A11" s="133" t="s">
        <v>353</v>
      </c>
      <c r="B11" s="134" t="s">
        <v>486</v>
      </c>
      <c r="C11" s="127">
        <v>1</v>
      </c>
      <c r="D11" s="166">
        <v>0</v>
      </c>
      <c r="E11" s="153"/>
    </row>
    <row r="12" spans="1:5" ht="19.5" customHeight="1">
      <c r="A12" s="133" t="s">
        <v>355</v>
      </c>
      <c r="B12" s="134" t="s">
        <v>354</v>
      </c>
      <c r="C12" s="127">
        <v>52</v>
      </c>
      <c r="D12" s="166">
        <v>0</v>
      </c>
      <c r="E12" s="153"/>
    </row>
    <row r="13" spans="1:5" ht="19.5" customHeight="1">
      <c r="A13" s="209" t="s">
        <v>357</v>
      </c>
      <c r="B13" s="210" t="s">
        <v>356</v>
      </c>
      <c r="C13" s="211">
        <v>20</v>
      </c>
      <c r="D13" s="234">
        <v>0</v>
      </c>
      <c r="E13" s="153"/>
    </row>
    <row r="14" spans="1:5" ht="19.5" customHeight="1">
      <c r="A14" s="209" t="s">
        <v>458</v>
      </c>
      <c r="B14" s="212" t="s">
        <v>496</v>
      </c>
      <c r="C14" s="236" t="s">
        <v>456</v>
      </c>
      <c r="D14" s="237" t="s">
        <v>504</v>
      </c>
      <c r="E14" s="153"/>
    </row>
    <row r="15" spans="1:5" ht="12.75">
      <c r="A15" s="110"/>
      <c r="B15" s="113"/>
      <c r="C15" s="129"/>
      <c r="D15" s="113"/>
      <c r="E15" s="153"/>
    </row>
    <row r="16" spans="1:5" ht="30" customHeight="1">
      <c r="A16" s="123"/>
      <c r="B16" s="138" t="s">
        <v>358</v>
      </c>
      <c r="C16" s="125"/>
      <c r="D16" s="125"/>
      <c r="E16" s="125"/>
    </row>
    <row r="17" spans="1:5" ht="30" customHeight="1">
      <c r="A17" s="110"/>
      <c r="B17" s="126" t="s">
        <v>359</v>
      </c>
      <c r="C17" s="129"/>
      <c r="D17" s="113"/>
      <c r="E17" s="153"/>
    </row>
    <row r="18" spans="1:5" ht="25.5" customHeight="1">
      <c r="A18" s="110"/>
      <c r="B18" s="128" t="s">
        <v>341</v>
      </c>
      <c r="C18" s="129"/>
      <c r="D18" s="113"/>
      <c r="E18" s="153"/>
    </row>
    <row r="19" spans="1:5" ht="19.5" customHeight="1">
      <c r="A19" s="139">
        <v>10</v>
      </c>
      <c r="B19" s="134" t="s">
        <v>360</v>
      </c>
      <c r="C19" s="127">
        <v>50000</v>
      </c>
      <c r="D19" s="195">
        <v>0</v>
      </c>
      <c r="E19" s="153"/>
    </row>
    <row r="20" spans="1:5" ht="23.25" customHeight="1">
      <c r="A20" s="139">
        <v>11</v>
      </c>
      <c r="B20" s="134" t="s">
        <v>361</v>
      </c>
      <c r="C20" s="127">
        <v>50000</v>
      </c>
      <c r="D20" s="183">
        <v>0</v>
      </c>
      <c r="E20" s="153"/>
    </row>
    <row r="21" spans="1:5" ht="31.5" customHeight="1">
      <c r="A21" s="140" t="s">
        <v>487</v>
      </c>
      <c r="B21" s="141" t="s">
        <v>362</v>
      </c>
      <c r="C21" s="142">
        <v>0.1</v>
      </c>
      <c r="D21" s="194">
        <v>0</v>
      </c>
      <c r="E21" s="153"/>
    </row>
    <row r="22" spans="1:5" ht="19.5" customHeight="1">
      <c r="A22" s="139">
        <v>12</v>
      </c>
      <c r="B22" s="136" t="s">
        <v>363</v>
      </c>
      <c r="C22" s="127">
        <v>100</v>
      </c>
      <c r="D22" s="196">
        <v>0</v>
      </c>
      <c r="E22" s="153"/>
    </row>
    <row r="23" spans="1:5" ht="30" customHeight="1">
      <c r="A23" s="139"/>
      <c r="B23" s="143" t="s">
        <v>364</v>
      </c>
      <c r="C23" s="127"/>
      <c r="D23" s="193"/>
      <c r="E23" s="153"/>
    </row>
    <row r="24" spans="1:5" ht="19.5" customHeight="1">
      <c r="A24" s="133" t="s">
        <v>368</v>
      </c>
      <c r="B24" s="134" t="s">
        <v>366</v>
      </c>
      <c r="C24" s="127">
        <v>100000</v>
      </c>
      <c r="D24" s="183">
        <v>0</v>
      </c>
      <c r="E24" s="153"/>
    </row>
    <row r="25" spans="1:5" ht="19.5" customHeight="1">
      <c r="A25" s="133" t="s">
        <v>370</v>
      </c>
      <c r="B25" s="134" t="s">
        <v>367</v>
      </c>
      <c r="C25" s="144">
        <v>3</v>
      </c>
      <c r="D25" s="197">
        <v>0</v>
      </c>
      <c r="E25" s="153"/>
    </row>
    <row r="26" spans="1:5" ht="19.5" customHeight="1">
      <c r="A26" s="133" t="s">
        <v>372</v>
      </c>
      <c r="B26" s="136" t="s">
        <v>369</v>
      </c>
      <c r="C26" s="127">
        <v>20000</v>
      </c>
      <c r="D26" s="183">
        <v>0</v>
      </c>
      <c r="E26" s="153"/>
    </row>
    <row r="27" spans="1:5" ht="19.5" customHeight="1">
      <c r="A27" s="133" t="s">
        <v>374</v>
      </c>
      <c r="B27" s="136" t="s">
        <v>371</v>
      </c>
      <c r="C27" s="144">
        <v>10</v>
      </c>
      <c r="D27" s="197">
        <v>0</v>
      </c>
      <c r="E27" s="153"/>
    </row>
    <row r="28" spans="1:5" ht="19.5" customHeight="1">
      <c r="A28" s="133" t="s">
        <v>461</v>
      </c>
      <c r="B28" s="134" t="s">
        <v>373</v>
      </c>
      <c r="C28" s="127">
        <v>40000</v>
      </c>
      <c r="D28" s="183">
        <v>0</v>
      </c>
      <c r="E28" s="153"/>
    </row>
    <row r="29" spans="1:5" ht="19.5" customHeight="1">
      <c r="A29" s="139" t="s">
        <v>377</v>
      </c>
      <c r="B29" s="134" t="s">
        <v>375</v>
      </c>
      <c r="C29" s="144">
        <v>6</v>
      </c>
      <c r="D29" s="197">
        <v>0</v>
      </c>
      <c r="E29" s="153"/>
    </row>
    <row r="30" spans="1:5" ht="19.5" customHeight="1">
      <c r="A30" s="139">
        <v>16</v>
      </c>
      <c r="B30" s="134" t="s">
        <v>376</v>
      </c>
      <c r="C30" s="127">
        <v>20000</v>
      </c>
      <c r="D30" s="183">
        <v>0</v>
      </c>
      <c r="E30" s="153"/>
    </row>
    <row r="31" spans="1:5" ht="19.5" customHeight="1">
      <c r="A31" s="139" t="s">
        <v>380</v>
      </c>
      <c r="B31" s="134" t="s">
        <v>378</v>
      </c>
      <c r="C31" s="144">
        <v>25</v>
      </c>
      <c r="D31" s="197">
        <v>0</v>
      </c>
      <c r="E31" s="153"/>
    </row>
    <row r="32" spans="1:5" ht="19.5" customHeight="1">
      <c r="A32" s="139">
        <v>17</v>
      </c>
      <c r="B32" s="136" t="s">
        <v>379</v>
      </c>
      <c r="C32" s="127">
        <v>20000</v>
      </c>
      <c r="D32" s="183">
        <v>0</v>
      </c>
      <c r="E32" s="153"/>
    </row>
    <row r="33" spans="1:5" ht="19.5" customHeight="1">
      <c r="A33" s="139" t="s">
        <v>385</v>
      </c>
      <c r="B33" s="134" t="s">
        <v>381</v>
      </c>
      <c r="C33" s="127">
        <v>2</v>
      </c>
      <c r="D33" s="197">
        <v>0</v>
      </c>
      <c r="E33" s="153"/>
    </row>
    <row r="34" spans="1:5" ht="19.5" customHeight="1">
      <c r="A34" s="139" t="s">
        <v>387</v>
      </c>
      <c r="B34" s="134" t="s">
        <v>382</v>
      </c>
      <c r="C34" s="127">
        <v>1</v>
      </c>
      <c r="D34" s="197">
        <v>0</v>
      </c>
      <c r="E34" s="153"/>
    </row>
    <row r="35" spans="1:5" ht="19.5" customHeight="1">
      <c r="A35" s="139" t="s">
        <v>389</v>
      </c>
      <c r="B35" s="134" t="s">
        <v>383</v>
      </c>
      <c r="C35" s="127">
        <v>1</v>
      </c>
      <c r="D35" s="197">
        <v>0</v>
      </c>
      <c r="E35" s="153"/>
    </row>
    <row r="36" spans="1:5" ht="19.5" customHeight="1">
      <c r="A36" s="139">
        <v>18</v>
      </c>
      <c r="B36" s="136" t="s">
        <v>384</v>
      </c>
      <c r="C36" s="127">
        <v>20000</v>
      </c>
      <c r="D36" s="183">
        <v>0</v>
      </c>
      <c r="E36" s="153"/>
    </row>
    <row r="37" spans="1:5" ht="19.5" customHeight="1">
      <c r="A37" s="139" t="s">
        <v>488</v>
      </c>
      <c r="B37" s="134" t="s">
        <v>386</v>
      </c>
      <c r="C37" s="127">
        <v>5</v>
      </c>
      <c r="D37" s="197">
        <v>0</v>
      </c>
      <c r="E37" s="153"/>
    </row>
    <row r="38" spans="1:5" ht="19.5" customHeight="1">
      <c r="A38" s="133" t="s">
        <v>489</v>
      </c>
      <c r="B38" s="134" t="s">
        <v>388</v>
      </c>
      <c r="C38" s="145">
        <v>1.5</v>
      </c>
      <c r="D38" s="197">
        <v>0</v>
      </c>
      <c r="E38" s="153"/>
    </row>
    <row r="39" spans="1:5" ht="19.5" customHeight="1">
      <c r="A39" s="133" t="s">
        <v>490</v>
      </c>
      <c r="B39" s="134" t="s">
        <v>390</v>
      </c>
      <c r="C39" s="145">
        <v>1.5</v>
      </c>
      <c r="D39" s="197">
        <v>0</v>
      </c>
      <c r="E39" s="153"/>
    </row>
    <row r="40" spans="1:5" ht="19.5" customHeight="1">
      <c r="A40" s="133" t="s">
        <v>393</v>
      </c>
      <c r="B40" s="134" t="s">
        <v>392</v>
      </c>
      <c r="C40" s="198">
        <v>1</v>
      </c>
      <c r="D40" s="166">
        <v>0</v>
      </c>
      <c r="E40" s="153"/>
    </row>
    <row r="41" spans="1:5" ht="19.5" customHeight="1">
      <c r="A41" s="209" t="s">
        <v>396</v>
      </c>
      <c r="B41" s="210" t="s">
        <v>394</v>
      </c>
      <c r="C41" s="211">
        <v>100000</v>
      </c>
      <c r="D41" s="235">
        <v>0</v>
      </c>
      <c r="E41" s="153"/>
    </row>
    <row r="42" spans="1:5" ht="19.5" customHeight="1">
      <c r="A42" s="209" t="s">
        <v>398</v>
      </c>
      <c r="B42" s="212" t="s">
        <v>395</v>
      </c>
      <c r="C42" s="213" t="s">
        <v>469</v>
      </c>
      <c r="D42" s="244" t="s">
        <v>469</v>
      </c>
      <c r="E42" s="153"/>
    </row>
    <row r="43" spans="1:5" ht="19.5" customHeight="1">
      <c r="A43" s="146" t="s">
        <v>464</v>
      </c>
      <c r="B43" s="147" t="s">
        <v>397</v>
      </c>
      <c r="C43" s="148">
        <v>100000</v>
      </c>
      <c r="D43" s="173"/>
      <c r="E43" s="153"/>
    </row>
    <row r="44" spans="1:5" ht="19.5" customHeight="1">
      <c r="A44" s="146" t="s">
        <v>491</v>
      </c>
      <c r="B44" s="147" t="s">
        <v>399</v>
      </c>
      <c r="C44" s="148">
        <v>60</v>
      </c>
      <c r="D44" s="173"/>
      <c r="E44" s="153"/>
    </row>
    <row r="45" spans="1:5" ht="15.75">
      <c r="A45" s="149"/>
      <c r="B45" s="134"/>
      <c r="C45" s="137"/>
      <c r="D45" s="113"/>
      <c r="E45" s="153"/>
    </row>
    <row r="46" spans="1:5" ht="23.25" customHeight="1">
      <c r="A46" s="123"/>
      <c r="B46" s="138" t="s">
        <v>400</v>
      </c>
      <c r="C46" s="125"/>
      <c r="D46" s="125"/>
      <c r="E46" s="125"/>
    </row>
    <row r="47" spans="1:5" ht="15.75">
      <c r="A47" s="113"/>
      <c r="B47" s="150"/>
      <c r="C47" s="129"/>
      <c r="D47" s="113"/>
      <c r="E47" s="153"/>
    </row>
    <row r="48" spans="1:5" ht="19.5" customHeight="1">
      <c r="A48" s="167">
        <v>22</v>
      </c>
      <c r="B48" s="168" t="s">
        <v>402</v>
      </c>
      <c r="C48" s="169">
        <v>1000</v>
      </c>
      <c r="D48" s="170">
        <v>0</v>
      </c>
      <c r="E48" s="153"/>
    </row>
    <row r="49" spans="1:5" ht="19.5" customHeight="1">
      <c r="A49" s="167">
        <v>23</v>
      </c>
      <c r="B49" s="168" t="s">
        <v>403</v>
      </c>
      <c r="C49" s="169">
        <v>1000</v>
      </c>
      <c r="D49" s="171">
        <v>0</v>
      </c>
      <c r="E49" s="153"/>
    </row>
    <row r="50" spans="1:5" ht="19.5" customHeight="1">
      <c r="A50" s="167">
        <v>24</v>
      </c>
      <c r="B50" s="168" t="s">
        <v>404</v>
      </c>
      <c r="C50" s="169">
        <v>1000</v>
      </c>
      <c r="D50" s="172">
        <v>0</v>
      </c>
      <c r="E50" s="153"/>
    </row>
    <row r="51" spans="1:5" ht="12.75">
      <c r="A51" s="151"/>
      <c r="B51" s="151"/>
      <c r="C51" s="151"/>
      <c r="D51" s="151"/>
      <c r="E51" s="154"/>
    </row>
  </sheetData>
  <printOptions/>
  <pageMargins left="0.75" right="0.75" top="1" bottom="1" header="0.5" footer="0.5"/>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F355"/>
  <sheetViews>
    <sheetView workbookViewId="0" topLeftCell="A1">
      <selection activeCell="E6" sqref="E6"/>
    </sheetView>
  </sheetViews>
  <sheetFormatPr defaultColWidth="9.140625" defaultRowHeight="12.75"/>
  <cols>
    <col min="1" max="1" width="11.00390625" style="25" customWidth="1"/>
    <col min="2" max="2" width="73.140625" style="1" customWidth="1"/>
    <col min="3" max="3" width="12.8515625" style="0" customWidth="1"/>
    <col min="4" max="4" width="12.00390625" style="0" customWidth="1"/>
    <col min="5" max="5" width="11.7109375" style="0" customWidth="1"/>
    <col min="6" max="6" width="15.8515625" style="0" customWidth="1"/>
  </cols>
  <sheetData>
    <row r="1" spans="1:6" ht="41.25" customHeight="1">
      <c r="A1" s="120"/>
      <c r="B1" s="121" t="s">
        <v>406</v>
      </c>
      <c r="C1" s="121"/>
      <c r="D1" s="121"/>
      <c r="E1" s="121"/>
      <c r="F1" s="153"/>
    </row>
    <row r="2" spans="1:6" ht="22.5" customHeight="1">
      <c r="A2" s="149"/>
      <c r="B2" s="134"/>
      <c r="C2" s="240" t="s">
        <v>416</v>
      </c>
      <c r="D2" s="161" t="s">
        <v>415</v>
      </c>
      <c r="E2" s="161" t="s">
        <v>414</v>
      </c>
      <c r="F2" s="162" t="s">
        <v>467</v>
      </c>
    </row>
    <row r="3" spans="1:6" ht="19.5" customHeight="1">
      <c r="A3" s="149" t="s">
        <v>411</v>
      </c>
      <c r="B3" s="134" t="s">
        <v>408</v>
      </c>
      <c r="C3" s="242">
        <v>0</v>
      </c>
      <c r="D3" s="163">
        <v>0</v>
      </c>
      <c r="E3" s="163">
        <v>0</v>
      </c>
      <c r="F3" s="243" t="s">
        <v>468</v>
      </c>
    </row>
    <row r="4" spans="1:6" ht="19.5" customHeight="1">
      <c r="A4" s="149" t="s">
        <v>492</v>
      </c>
      <c r="B4" s="134" t="s">
        <v>409</v>
      </c>
      <c r="C4" s="242">
        <v>0</v>
      </c>
      <c r="D4" s="163">
        <v>0</v>
      </c>
      <c r="E4" s="163">
        <v>0</v>
      </c>
      <c r="F4" s="243" t="s">
        <v>470</v>
      </c>
    </row>
    <row r="5" spans="1:6" ht="19.5" customHeight="1">
      <c r="A5" s="149" t="s">
        <v>493</v>
      </c>
      <c r="B5" s="134" t="s">
        <v>410</v>
      </c>
      <c r="C5" s="242">
        <v>0</v>
      </c>
      <c r="D5" s="163">
        <v>0</v>
      </c>
      <c r="E5" s="163">
        <v>0</v>
      </c>
      <c r="F5" s="243" t="s">
        <v>471</v>
      </c>
    </row>
    <row r="6" spans="1:6" ht="19.5" customHeight="1">
      <c r="A6" s="149" t="s">
        <v>494</v>
      </c>
      <c r="B6" s="134" t="s">
        <v>412</v>
      </c>
      <c r="C6" s="242">
        <v>0</v>
      </c>
      <c r="D6" s="163">
        <v>0</v>
      </c>
      <c r="E6" s="163">
        <v>0</v>
      </c>
      <c r="F6" s="243" t="s">
        <v>472</v>
      </c>
    </row>
    <row r="7" spans="1:6" ht="15">
      <c r="A7" s="149"/>
      <c r="B7" s="134"/>
      <c r="C7" s="164"/>
      <c r="D7" s="164"/>
      <c r="E7" s="241"/>
      <c r="F7" s="153"/>
    </row>
    <row r="8" spans="1:6" ht="21.75" customHeight="1">
      <c r="A8" s="155"/>
      <c r="B8" s="157" t="s">
        <v>413</v>
      </c>
      <c r="C8" s="165">
        <f>SUM(C3:E6)</f>
        <v>0</v>
      </c>
      <c r="D8" s="157"/>
      <c r="E8" s="157"/>
      <c r="F8" s="154"/>
    </row>
    <row r="9" ht="15">
      <c r="A9" s="158"/>
    </row>
    <row r="10" spans="1:2" ht="15">
      <c r="A10" s="158"/>
      <c r="B10" s="158"/>
    </row>
    <row r="11" ht="15">
      <c r="A11" s="158"/>
    </row>
    <row r="12" spans="1:2" ht="15">
      <c r="A12" s="158"/>
      <c r="B12" s="158"/>
    </row>
    <row r="13" spans="1:2" ht="15">
      <c r="A13" s="158"/>
      <c r="B13" s="158"/>
    </row>
    <row r="14" spans="1:2" ht="15">
      <c r="A14" s="158"/>
      <c r="B14" s="158"/>
    </row>
    <row r="15" spans="1:2" ht="15">
      <c r="A15" s="158"/>
      <c r="B15" s="158"/>
    </row>
    <row r="16" spans="1:2" ht="15">
      <c r="A16" s="158"/>
      <c r="B16" s="158"/>
    </row>
    <row r="17" spans="1:2" ht="15">
      <c r="A17" s="158"/>
      <c r="B17" s="158"/>
    </row>
    <row r="18" spans="1:2" ht="15">
      <c r="A18" s="158"/>
      <c r="B18" s="158"/>
    </row>
    <row r="19" spans="1:2" ht="15">
      <c r="A19" s="158"/>
      <c r="B19" s="158"/>
    </row>
    <row r="20" spans="1:2" ht="15">
      <c r="A20" s="158"/>
      <c r="B20" s="158"/>
    </row>
    <row r="21" ht="15">
      <c r="B21" s="158"/>
    </row>
    <row r="22" ht="15">
      <c r="B22" s="158"/>
    </row>
    <row r="23" ht="15">
      <c r="B23" s="158"/>
    </row>
    <row r="24" spans="1:2" ht="15">
      <c r="A24" s="158"/>
      <c r="B24" s="158"/>
    </row>
    <row r="25" spans="1:2" ht="15">
      <c r="A25" s="158"/>
      <c r="B25" s="158"/>
    </row>
    <row r="26" spans="1:2" ht="15">
      <c r="A26" s="158"/>
      <c r="B26" s="158"/>
    </row>
    <row r="27" ht="15">
      <c r="B27" s="158"/>
    </row>
    <row r="28" ht="15">
      <c r="B28" s="158"/>
    </row>
    <row r="29" ht="15">
      <c r="B29" s="158"/>
    </row>
    <row r="30" ht="15">
      <c r="B30" s="158"/>
    </row>
    <row r="31" spans="1:2" ht="15">
      <c r="A31" s="158"/>
      <c r="B31" s="158"/>
    </row>
    <row r="32" spans="1:2" ht="15">
      <c r="A32" s="158"/>
      <c r="B32" s="158"/>
    </row>
    <row r="33" spans="1:2" ht="15">
      <c r="A33" s="158"/>
      <c r="B33" s="158"/>
    </row>
    <row r="34" spans="1:2" ht="15">
      <c r="A34" s="158"/>
      <c r="B34" s="158"/>
    </row>
    <row r="35" spans="1:2" ht="15">
      <c r="A35" s="158"/>
      <c r="B35" s="158"/>
    </row>
    <row r="36" spans="1:2" ht="15">
      <c r="A36" s="158"/>
      <c r="B36" s="158"/>
    </row>
    <row r="37" spans="1:2" ht="15">
      <c r="A37" s="158"/>
      <c r="B37" s="158"/>
    </row>
    <row r="38" spans="1:2" ht="15">
      <c r="A38" s="158"/>
      <c r="B38" s="159"/>
    </row>
    <row r="39" spans="1:2" ht="15">
      <c r="A39" s="158"/>
      <c r="B39" s="158"/>
    </row>
    <row r="40" spans="1:2" ht="15">
      <c r="A40" s="158"/>
      <c r="B40" s="158"/>
    </row>
    <row r="41" spans="1:2" ht="15">
      <c r="A41" s="160"/>
      <c r="B41" s="158"/>
    </row>
    <row r="42" spans="1:2" ht="15">
      <c r="A42" s="160"/>
      <c r="B42" s="158"/>
    </row>
    <row r="43" spans="1:2" ht="15">
      <c r="A43" s="158"/>
      <c r="B43" s="158"/>
    </row>
    <row r="44" spans="1:2" ht="15">
      <c r="A44" s="158"/>
      <c r="B44" s="158"/>
    </row>
    <row r="45" spans="1:2" ht="15">
      <c r="A45" s="158"/>
      <c r="B45" s="158"/>
    </row>
    <row r="46" spans="1:2" ht="15">
      <c r="A46" s="158"/>
      <c r="B46" s="158"/>
    </row>
    <row r="47" spans="1:2" ht="15">
      <c r="A47" s="1"/>
      <c r="B47" s="158"/>
    </row>
    <row r="48" spans="1:2" ht="15">
      <c r="A48" s="158"/>
      <c r="B48" s="158"/>
    </row>
    <row r="49" spans="1:2" ht="15">
      <c r="A49" s="158"/>
      <c r="B49" s="158"/>
    </row>
    <row r="50" spans="1:2" ht="15">
      <c r="A50" s="158"/>
      <c r="B50" s="158"/>
    </row>
    <row r="51" spans="1:2" ht="15">
      <c r="A51" s="158"/>
      <c r="B51" s="158"/>
    </row>
    <row r="52" spans="1:2" ht="15">
      <c r="A52" s="158"/>
      <c r="B52" s="158"/>
    </row>
    <row r="53" spans="1:2" ht="15">
      <c r="A53" s="158"/>
      <c r="B53" s="158"/>
    </row>
    <row r="54" spans="1:2" ht="15">
      <c r="A54" s="158"/>
      <c r="B54" s="158"/>
    </row>
    <row r="55" spans="1:2" ht="15">
      <c r="A55" s="158"/>
      <c r="B55" s="158"/>
    </row>
    <row r="56" spans="1:2" ht="15">
      <c r="A56" s="158"/>
      <c r="B56" s="158"/>
    </row>
    <row r="57" spans="1:2" ht="15">
      <c r="A57" s="158"/>
      <c r="B57" s="158"/>
    </row>
    <row r="58" spans="1:2" ht="15">
      <c r="A58" s="158"/>
      <c r="B58" s="158"/>
    </row>
    <row r="59" spans="1:2" ht="15">
      <c r="A59" s="158"/>
      <c r="B59" s="158"/>
    </row>
    <row r="60" spans="1:2" ht="15">
      <c r="A60" s="158"/>
      <c r="B60" s="158"/>
    </row>
    <row r="61" spans="1:2" ht="15">
      <c r="A61" s="158"/>
      <c r="B61" s="158"/>
    </row>
    <row r="62" ht="15">
      <c r="A62" s="158"/>
    </row>
    <row r="63" ht="15">
      <c r="A63" s="158"/>
    </row>
    <row r="64" ht="15">
      <c r="A64" s="158"/>
    </row>
    <row r="65" ht="15">
      <c r="A65" s="158"/>
    </row>
    <row r="66" ht="15">
      <c r="A66" s="158"/>
    </row>
    <row r="67" ht="15">
      <c r="A67" s="158"/>
    </row>
    <row r="68" spans="1:2" ht="15">
      <c r="A68" s="158"/>
      <c r="B68" s="158"/>
    </row>
    <row r="69" spans="1:2" ht="15">
      <c r="A69" s="158"/>
      <c r="B69" s="158"/>
    </row>
    <row r="70" spans="1:2" ht="15">
      <c r="A70" s="158"/>
      <c r="B70" s="158"/>
    </row>
    <row r="71" spans="1:2" ht="15">
      <c r="A71" s="158"/>
      <c r="B71" s="158"/>
    </row>
    <row r="72" spans="1:2" ht="15">
      <c r="A72" s="158"/>
      <c r="B72" s="158"/>
    </row>
    <row r="73" spans="1:2" ht="15">
      <c r="A73" s="158"/>
      <c r="B73" s="158"/>
    </row>
    <row r="74" spans="1:2" ht="15">
      <c r="A74" s="158"/>
      <c r="B74" s="158"/>
    </row>
    <row r="75" spans="1:2" ht="15">
      <c r="A75" s="158"/>
      <c r="B75" s="158"/>
    </row>
    <row r="76" spans="1:2" ht="15">
      <c r="A76" s="158"/>
      <c r="B76" s="158"/>
    </row>
    <row r="77" spans="1:2" ht="15">
      <c r="A77" s="158"/>
      <c r="B77" s="158"/>
    </row>
    <row r="78" spans="1:2" ht="15">
      <c r="A78" s="158"/>
      <c r="B78" s="158"/>
    </row>
    <row r="79" spans="1:2" ht="15">
      <c r="A79" s="158"/>
      <c r="B79" s="158"/>
    </row>
    <row r="80" spans="1:2" ht="15">
      <c r="A80" s="158"/>
      <c r="B80" s="158"/>
    </row>
    <row r="81" spans="1:2" ht="15">
      <c r="A81" s="158"/>
      <c r="B81" s="158"/>
    </row>
    <row r="82" spans="1:2" ht="15">
      <c r="A82" s="158"/>
      <c r="B82" s="158"/>
    </row>
    <row r="83" spans="1:2" ht="15">
      <c r="A83" s="158"/>
      <c r="B83" s="158"/>
    </row>
    <row r="84" spans="1:2" ht="15">
      <c r="A84" s="158"/>
      <c r="B84" s="158"/>
    </row>
    <row r="85" spans="1:2" ht="15">
      <c r="A85" s="158"/>
      <c r="B85" s="158"/>
    </row>
    <row r="86" spans="1:2" ht="15">
      <c r="A86" s="158"/>
      <c r="B86" s="158"/>
    </row>
    <row r="87" spans="1:2" ht="15">
      <c r="A87" s="158"/>
      <c r="B87" s="158"/>
    </row>
    <row r="88" spans="1:2" ht="15">
      <c r="A88" s="158"/>
      <c r="B88" s="158"/>
    </row>
    <row r="89" spans="1:2" ht="15">
      <c r="A89" s="158"/>
      <c r="B89" s="158"/>
    </row>
    <row r="90" spans="1:2" ht="15">
      <c r="A90" s="158"/>
      <c r="B90" s="158"/>
    </row>
    <row r="91" spans="1:2" ht="15">
      <c r="A91" s="158"/>
      <c r="B91" s="158"/>
    </row>
    <row r="92" spans="1:2" ht="15">
      <c r="A92" s="158"/>
      <c r="B92" s="158"/>
    </row>
    <row r="93" spans="1:2" ht="15">
      <c r="A93" s="158"/>
      <c r="B93" s="158"/>
    </row>
    <row r="94" spans="1:2" ht="15">
      <c r="A94" s="158"/>
      <c r="B94" s="158"/>
    </row>
    <row r="95" spans="1:2" ht="15">
      <c r="A95" s="158"/>
      <c r="B95" s="158"/>
    </row>
    <row r="96" spans="1:2" ht="15">
      <c r="A96" s="158"/>
      <c r="B96" s="158"/>
    </row>
    <row r="97" spans="1:2" ht="15">
      <c r="A97" s="158"/>
      <c r="B97" s="158"/>
    </row>
    <row r="98" spans="1:2" ht="15">
      <c r="A98" s="158"/>
      <c r="B98" s="158"/>
    </row>
    <row r="99" spans="1:2" ht="15">
      <c r="A99" s="158"/>
      <c r="B99" s="158"/>
    </row>
    <row r="100" spans="1:2" ht="15">
      <c r="A100" s="158"/>
      <c r="B100" s="158"/>
    </row>
    <row r="101" spans="1:2" ht="15">
      <c r="A101" s="158"/>
      <c r="B101" s="158"/>
    </row>
    <row r="102" spans="1:2" ht="15">
      <c r="A102" s="158"/>
      <c r="B102" s="158"/>
    </row>
    <row r="103" spans="1:2" ht="15">
      <c r="A103" s="158"/>
      <c r="B103" s="158"/>
    </row>
    <row r="104" spans="1:2" ht="15">
      <c r="A104" s="158"/>
      <c r="B104" s="158"/>
    </row>
    <row r="105" spans="1:2" ht="15">
      <c r="A105" s="158"/>
      <c r="B105" s="158"/>
    </row>
    <row r="106" spans="1:2" ht="15">
      <c r="A106" s="158"/>
      <c r="B106" s="158"/>
    </row>
    <row r="107" spans="1:2" ht="15">
      <c r="A107" s="158"/>
      <c r="B107" s="158"/>
    </row>
    <row r="108" spans="1:2" ht="15">
      <c r="A108" s="158"/>
      <c r="B108" s="158"/>
    </row>
    <row r="109" spans="1:2" ht="15">
      <c r="A109" s="158"/>
      <c r="B109" s="158"/>
    </row>
    <row r="110" spans="1:2" ht="15">
      <c r="A110" s="158"/>
      <c r="B110" s="158"/>
    </row>
    <row r="111" spans="1:2" ht="15">
      <c r="A111" s="158"/>
      <c r="B111" s="158"/>
    </row>
    <row r="112" spans="1:2" ht="15">
      <c r="A112" s="158"/>
      <c r="B112" s="158"/>
    </row>
    <row r="113" spans="1:2" ht="15">
      <c r="A113" s="158"/>
      <c r="B113" s="158"/>
    </row>
    <row r="114" spans="1:2" ht="15">
      <c r="A114" s="158"/>
      <c r="B114" s="158"/>
    </row>
    <row r="115" spans="1:2" ht="15">
      <c r="A115" s="158"/>
      <c r="B115" s="158"/>
    </row>
    <row r="116" spans="1:2" ht="15">
      <c r="A116" s="158"/>
      <c r="B116" s="158"/>
    </row>
    <row r="117" spans="1:2" ht="15">
      <c r="A117" s="158"/>
      <c r="B117" s="158"/>
    </row>
    <row r="118" spans="1:2" ht="15">
      <c r="A118" s="158"/>
      <c r="B118" s="158"/>
    </row>
    <row r="119" spans="1:2" ht="15">
      <c r="A119" s="158"/>
      <c r="B119" s="158"/>
    </row>
    <row r="120" spans="1:2" ht="15">
      <c r="A120" s="158"/>
      <c r="B120" s="158"/>
    </row>
    <row r="121" spans="1:2" ht="15">
      <c r="A121" s="158"/>
      <c r="B121" s="158"/>
    </row>
    <row r="122" spans="1:2" ht="15">
      <c r="A122" s="158"/>
      <c r="B122" s="158"/>
    </row>
    <row r="123" spans="1:2" ht="15">
      <c r="A123" s="158"/>
      <c r="B123" s="158"/>
    </row>
    <row r="124" spans="1:2" ht="15">
      <c r="A124" s="158"/>
      <c r="B124" s="158"/>
    </row>
    <row r="125" spans="1:2" ht="15">
      <c r="A125" s="158"/>
      <c r="B125" s="158"/>
    </row>
    <row r="126" spans="1:2" ht="15">
      <c r="A126" s="158"/>
      <c r="B126" s="158"/>
    </row>
    <row r="127" spans="1:2" ht="15">
      <c r="A127" s="158"/>
      <c r="B127" s="158"/>
    </row>
    <row r="128" spans="1:2" ht="15">
      <c r="A128" s="158"/>
      <c r="B128" s="158"/>
    </row>
    <row r="129" spans="1:2" ht="15">
      <c r="A129" s="158"/>
      <c r="B129" s="158"/>
    </row>
    <row r="130" spans="1:2" ht="15">
      <c r="A130" s="158"/>
      <c r="B130" s="158"/>
    </row>
    <row r="131" spans="1:2" ht="15">
      <c r="A131" s="158"/>
      <c r="B131" s="158"/>
    </row>
    <row r="132" spans="1:2" ht="15">
      <c r="A132" s="158"/>
      <c r="B132" s="158"/>
    </row>
    <row r="133" spans="1:2" ht="15">
      <c r="A133" s="158"/>
      <c r="B133" s="158"/>
    </row>
    <row r="134" spans="1:2" ht="15">
      <c r="A134" s="158"/>
      <c r="B134" s="158"/>
    </row>
    <row r="135" spans="1:2" ht="15">
      <c r="A135" s="158"/>
      <c r="B135" s="158"/>
    </row>
    <row r="136" spans="1:2" ht="15">
      <c r="A136" s="158"/>
      <c r="B136" s="158"/>
    </row>
    <row r="137" spans="1:2" ht="15">
      <c r="A137" s="158"/>
      <c r="B137" s="158"/>
    </row>
    <row r="138" spans="1:2" ht="15">
      <c r="A138" s="158"/>
      <c r="B138" s="158"/>
    </row>
    <row r="139" spans="1:2" ht="15">
      <c r="A139" s="158"/>
      <c r="B139" s="158"/>
    </row>
    <row r="140" spans="1:2" ht="15">
      <c r="A140" s="158"/>
      <c r="B140" s="158"/>
    </row>
    <row r="141" spans="1:2" ht="15">
      <c r="A141" s="158"/>
      <c r="B141" s="158"/>
    </row>
    <row r="142" spans="1:2" ht="15">
      <c r="A142" s="158"/>
      <c r="B142" s="158"/>
    </row>
    <row r="143" spans="1:2" ht="15">
      <c r="A143" s="158"/>
      <c r="B143" s="158"/>
    </row>
    <row r="144" spans="1:2" ht="15">
      <c r="A144" s="158"/>
      <c r="B144" s="158"/>
    </row>
    <row r="145" spans="1:2" ht="15">
      <c r="A145" s="158"/>
      <c r="B145" s="158"/>
    </row>
    <row r="146" spans="1:2" ht="15">
      <c r="A146" s="158"/>
      <c r="B146" s="158"/>
    </row>
    <row r="147" spans="1:2" ht="15">
      <c r="A147" s="158"/>
      <c r="B147" s="158"/>
    </row>
    <row r="148" spans="1:2" ht="15">
      <c r="A148" s="158"/>
      <c r="B148" s="158"/>
    </row>
    <row r="149" spans="1:2" ht="15">
      <c r="A149" s="158"/>
      <c r="B149" s="158"/>
    </row>
    <row r="150" spans="1:2" ht="15">
      <c r="A150" s="158"/>
      <c r="B150" s="158"/>
    </row>
    <row r="151" spans="1:2" ht="15">
      <c r="A151" s="158"/>
      <c r="B151" s="158"/>
    </row>
    <row r="152" spans="1:2" ht="15">
      <c r="A152" s="158"/>
      <c r="B152" s="158"/>
    </row>
    <row r="153" spans="1:2" ht="15">
      <c r="A153" s="158"/>
      <c r="B153" s="158"/>
    </row>
    <row r="154" spans="1:2" ht="15">
      <c r="A154" s="158"/>
      <c r="B154" s="158"/>
    </row>
    <row r="155" spans="1:2" ht="15">
      <c r="A155" s="158"/>
      <c r="B155" s="158"/>
    </row>
    <row r="156" spans="1:2" ht="15">
      <c r="A156" s="158"/>
      <c r="B156" s="158"/>
    </row>
    <row r="157" spans="1:2" ht="15">
      <c r="A157" s="158"/>
      <c r="B157" s="158"/>
    </row>
    <row r="158" spans="1:2" ht="15">
      <c r="A158" s="158"/>
      <c r="B158" s="158"/>
    </row>
    <row r="159" spans="1:2" ht="15">
      <c r="A159" s="158"/>
      <c r="B159" s="158"/>
    </row>
    <row r="160" spans="1:2" ht="15">
      <c r="A160" s="158"/>
      <c r="B160" s="158"/>
    </row>
    <row r="161" spans="1:2" ht="15">
      <c r="A161" s="158"/>
      <c r="B161" s="158"/>
    </row>
    <row r="162" spans="1:2" ht="15">
      <c r="A162" s="158"/>
      <c r="B162" s="158"/>
    </row>
    <row r="163" spans="1:2" ht="15">
      <c r="A163" s="158"/>
      <c r="B163" s="158"/>
    </row>
    <row r="164" spans="1:2" ht="15">
      <c r="A164" s="158"/>
      <c r="B164" s="158"/>
    </row>
    <row r="165" spans="1:2" ht="15">
      <c r="A165" s="158"/>
      <c r="B165" s="158"/>
    </row>
    <row r="166" spans="1:2" ht="15">
      <c r="A166" s="158"/>
      <c r="B166" s="158"/>
    </row>
    <row r="167" spans="1:2" ht="15">
      <c r="A167" s="158"/>
      <c r="B167" s="158"/>
    </row>
    <row r="168" spans="1:2" ht="15">
      <c r="A168" s="158"/>
      <c r="B168" s="158"/>
    </row>
    <row r="169" spans="1:2" ht="15">
      <c r="A169" s="158"/>
      <c r="B169" s="158"/>
    </row>
    <row r="170" spans="1:2" ht="15">
      <c r="A170" s="158"/>
      <c r="B170" s="158"/>
    </row>
    <row r="171" spans="1:2" ht="15">
      <c r="A171" s="158"/>
      <c r="B171" s="158"/>
    </row>
    <row r="172" spans="1:2" ht="15">
      <c r="A172" s="158"/>
      <c r="B172" s="158"/>
    </row>
    <row r="173" spans="1:2" ht="15">
      <c r="A173" s="158"/>
      <c r="B173" s="158"/>
    </row>
    <row r="174" spans="1:2" ht="15">
      <c r="A174" s="158"/>
      <c r="B174" s="158"/>
    </row>
    <row r="175" spans="1:2" ht="15">
      <c r="A175" s="158"/>
      <c r="B175" s="158"/>
    </row>
    <row r="176" spans="1:2" ht="15">
      <c r="A176" s="158"/>
      <c r="B176" s="158"/>
    </row>
    <row r="177" spans="1:2" ht="15">
      <c r="A177" s="158"/>
      <c r="B177" s="158"/>
    </row>
    <row r="178" spans="1:2" ht="15">
      <c r="A178" s="158"/>
      <c r="B178" s="158"/>
    </row>
    <row r="179" spans="1:2" ht="15">
      <c r="A179" s="158"/>
      <c r="B179" s="158"/>
    </row>
    <row r="180" spans="1:2" ht="15">
      <c r="A180" s="158"/>
      <c r="B180" s="158"/>
    </row>
    <row r="181" spans="1:2" ht="15">
      <c r="A181" s="158"/>
      <c r="B181" s="158"/>
    </row>
    <row r="182" spans="1:2" ht="15">
      <c r="A182" s="158"/>
      <c r="B182" s="158"/>
    </row>
    <row r="183" spans="1:2" ht="15">
      <c r="A183" s="158"/>
      <c r="B183" s="158"/>
    </row>
    <row r="184" spans="1:2" ht="15">
      <c r="A184" s="158"/>
      <c r="B184" s="158"/>
    </row>
    <row r="185" spans="1:2" ht="15">
      <c r="A185" s="158"/>
      <c r="B185" s="158"/>
    </row>
    <row r="186" spans="1:2" ht="15">
      <c r="A186" s="158"/>
      <c r="B186" s="158"/>
    </row>
    <row r="187" spans="1:2" ht="15">
      <c r="A187" s="158"/>
      <c r="B187" s="158"/>
    </row>
    <row r="188" spans="1:2" ht="15">
      <c r="A188" s="158"/>
      <c r="B188" s="158"/>
    </row>
    <row r="189" spans="1:2" ht="15">
      <c r="A189" s="158"/>
      <c r="B189" s="158"/>
    </row>
    <row r="190" spans="1:2" ht="15">
      <c r="A190" s="158"/>
      <c r="B190" s="158"/>
    </row>
    <row r="191" spans="1:2" ht="15">
      <c r="A191" s="158"/>
      <c r="B191" s="158"/>
    </row>
    <row r="192" spans="1:2" ht="15">
      <c r="A192" s="158"/>
      <c r="B192" s="158"/>
    </row>
    <row r="193" spans="1:2" ht="15">
      <c r="A193" s="158"/>
      <c r="B193" s="158"/>
    </row>
    <row r="194" spans="1:2" ht="15">
      <c r="A194" s="158"/>
      <c r="B194" s="158"/>
    </row>
    <row r="195" spans="1:2" ht="15">
      <c r="A195" s="158"/>
      <c r="B195" s="158"/>
    </row>
    <row r="196" spans="1:2" ht="15">
      <c r="A196" s="158"/>
      <c r="B196" s="158"/>
    </row>
    <row r="197" spans="1:2" ht="15">
      <c r="A197" s="158"/>
      <c r="B197" s="158"/>
    </row>
    <row r="198" spans="1:2" ht="15">
      <c r="A198" s="158"/>
      <c r="B198" s="158"/>
    </row>
    <row r="199" spans="1:2" ht="15">
      <c r="A199" s="158"/>
      <c r="B199" s="158"/>
    </row>
    <row r="200" spans="1:2" ht="15">
      <c r="A200" s="158"/>
      <c r="B200" s="158"/>
    </row>
    <row r="201" spans="1:2" ht="15">
      <c r="A201" s="158"/>
      <c r="B201" s="158"/>
    </row>
    <row r="202" spans="1:2" ht="15">
      <c r="A202" s="158"/>
      <c r="B202" s="158"/>
    </row>
    <row r="203" spans="1:2" ht="15">
      <c r="A203" s="158"/>
      <c r="B203" s="158"/>
    </row>
    <row r="204" spans="1:2" ht="15">
      <c r="A204" s="158"/>
      <c r="B204" s="158"/>
    </row>
    <row r="205" spans="1:2" ht="15">
      <c r="A205" s="158"/>
      <c r="B205" s="158"/>
    </row>
    <row r="206" spans="1:2" ht="15">
      <c r="A206" s="158"/>
      <c r="B206" s="158"/>
    </row>
    <row r="207" spans="1:2" ht="15">
      <c r="A207" s="158"/>
      <c r="B207" s="158"/>
    </row>
    <row r="208" spans="1:2" ht="15">
      <c r="A208" s="158"/>
      <c r="B208" s="158"/>
    </row>
    <row r="209" spans="1:2" ht="15">
      <c r="A209" s="158"/>
      <c r="B209" s="158"/>
    </row>
    <row r="210" spans="1:2" ht="15">
      <c r="A210" s="158"/>
      <c r="B210" s="158"/>
    </row>
    <row r="211" spans="1:2" ht="15">
      <c r="A211" s="158"/>
      <c r="B211" s="158"/>
    </row>
    <row r="212" spans="1:2" ht="15">
      <c r="A212" s="158"/>
      <c r="B212" s="158"/>
    </row>
    <row r="213" spans="1:2" ht="15">
      <c r="A213" s="158"/>
      <c r="B213" s="158"/>
    </row>
    <row r="214" spans="1:2" ht="15">
      <c r="A214" s="158"/>
      <c r="B214" s="158"/>
    </row>
    <row r="215" spans="1:2" ht="15">
      <c r="A215" s="158"/>
      <c r="B215" s="158"/>
    </row>
    <row r="216" spans="1:2" ht="15">
      <c r="A216" s="158"/>
      <c r="B216" s="158"/>
    </row>
    <row r="217" spans="1:2" ht="15">
      <c r="A217" s="158"/>
      <c r="B217" s="158"/>
    </row>
    <row r="218" spans="1:2" ht="15">
      <c r="A218" s="158"/>
      <c r="B218" s="158"/>
    </row>
    <row r="219" spans="1:2" ht="15">
      <c r="A219" s="158"/>
      <c r="B219" s="158"/>
    </row>
    <row r="220" spans="1:2" ht="15">
      <c r="A220" s="158"/>
      <c r="B220" s="158"/>
    </row>
    <row r="221" spans="1:2" ht="15">
      <c r="A221" s="158"/>
      <c r="B221" s="158"/>
    </row>
    <row r="222" spans="1:2" ht="15">
      <c r="A222" s="158"/>
      <c r="B222" s="158"/>
    </row>
    <row r="223" spans="1:2" ht="15">
      <c r="A223" s="158"/>
      <c r="B223" s="158"/>
    </row>
    <row r="224" spans="1:2" ht="15">
      <c r="A224" s="158"/>
      <c r="B224" s="158"/>
    </row>
    <row r="225" spans="1:2" ht="15">
      <c r="A225" s="158"/>
      <c r="B225" s="158"/>
    </row>
    <row r="226" spans="1:2" ht="15">
      <c r="A226" s="158"/>
      <c r="B226" s="158"/>
    </row>
    <row r="227" spans="1:2" ht="15">
      <c r="A227" s="158"/>
      <c r="B227" s="158"/>
    </row>
    <row r="228" spans="1:2" ht="15">
      <c r="A228" s="158"/>
      <c r="B228" s="158"/>
    </row>
    <row r="229" spans="1:2" ht="15">
      <c r="A229" s="158"/>
      <c r="B229" s="158"/>
    </row>
    <row r="230" spans="1:2" ht="15">
      <c r="A230" s="158"/>
      <c r="B230" s="158"/>
    </row>
    <row r="231" spans="1:2" ht="15">
      <c r="A231" s="158"/>
      <c r="B231" s="158"/>
    </row>
    <row r="232" spans="1:2" ht="15">
      <c r="A232" s="158"/>
      <c r="B232" s="158"/>
    </row>
    <row r="233" spans="1:2" ht="15">
      <c r="A233" s="158"/>
      <c r="B233" s="158"/>
    </row>
    <row r="234" spans="1:2" ht="15">
      <c r="A234" s="158"/>
      <c r="B234" s="158"/>
    </row>
    <row r="235" spans="1:2" ht="15">
      <c r="A235" s="158"/>
      <c r="B235" s="158"/>
    </row>
    <row r="236" spans="1:2" ht="15">
      <c r="A236" s="158"/>
      <c r="B236" s="158"/>
    </row>
    <row r="237" spans="1:2" ht="15">
      <c r="A237" s="158"/>
      <c r="B237" s="158"/>
    </row>
    <row r="238" spans="1:2" ht="15">
      <c r="A238" s="158"/>
      <c r="B238" s="158"/>
    </row>
    <row r="239" spans="1:2" ht="15">
      <c r="A239" s="158"/>
      <c r="B239" s="158"/>
    </row>
    <row r="240" spans="1:2" ht="15">
      <c r="A240" s="158"/>
      <c r="B240" s="158"/>
    </row>
    <row r="241" spans="1:2" ht="15">
      <c r="A241" s="158"/>
      <c r="B241" s="158"/>
    </row>
    <row r="242" spans="1:2" ht="15">
      <c r="A242" s="158"/>
      <c r="B242" s="158"/>
    </row>
    <row r="243" spans="1:2" ht="15">
      <c r="A243" s="158"/>
      <c r="B243" s="158"/>
    </row>
    <row r="244" spans="1:2" ht="15">
      <c r="A244" s="158"/>
      <c r="B244" s="158"/>
    </row>
    <row r="245" spans="1:2" ht="15">
      <c r="A245" s="158"/>
      <c r="B245" s="158"/>
    </row>
    <row r="246" spans="1:2" ht="15">
      <c r="A246" s="158"/>
      <c r="B246" s="158"/>
    </row>
    <row r="247" spans="1:2" ht="15">
      <c r="A247" s="158"/>
      <c r="B247" s="158"/>
    </row>
    <row r="248" spans="1:2" ht="15">
      <c r="A248" s="158"/>
      <c r="B248" s="158"/>
    </row>
    <row r="249" spans="1:2" ht="15">
      <c r="A249" s="158"/>
      <c r="B249" s="158"/>
    </row>
    <row r="250" spans="1:2" ht="15">
      <c r="A250" s="158"/>
      <c r="B250" s="158"/>
    </row>
    <row r="251" spans="1:2" ht="15">
      <c r="A251" s="158"/>
      <c r="B251" s="158"/>
    </row>
    <row r="252" spans="1:2" ht="15">
      <c r="A252" s="158"/>
      <c r="B252" s="158"/>
    </row>
    <row r="253" spans="1:2" ht="15">
      <c r="A253" s="158"/>
      <c r="B253" s="158"/>
    </row>
    <row r="254" spans="1:2" ht="15">
      <c r="A254" s="158"/>
      <c r="B254" s="158"/>
    </row>
    <row r="255" spans="1:2" ht="15">
      <c r="A255" s="158"/>
      <c r="B255" s="158"/>
    </row>
    <row r="256" spans="1:2" ht="15">
      <c r="A256" s="158"/>
      <c r="B256" s="158"/>
    </row>
    <row r="257" spans="1:2" ht="15">
      <c r="A257" s="158"/>
      <c r="B257" s="158"/>
    </row>
    <row r="258" spans="1:2" ht="15">
      <c r="A258" s="158"/>
      <c r="B258" s="158"/>
    </row>
    <row r="259" spans="1:2" ht="15">
      <c r="A259" s="158"/>
      <c r="B259" s="158"/>
    </row>
    <row r="260" spans="1:2" ht="15">
      <c r="A260" s="158"/>
      <c r="B260" s="158"/>
    </row>
    <row r="261" spans="1:2" ht="15">
      <c r="A261" s="158"/>
      <c r="B261" s="158"/>
    </row>
    <row r="262" spans="1:2" ht="15">
      <c r="A262" s="158"/>
      <c r="B262" s="158"/>
    </row>
    <row r="263" spans="1:2" ht="15">
      <c r="A263" s="158"/>
      <c r="B263" s="158"/>
    </row>
    <row r="264" spans="1:2" ht="15">
      <c r="A264" s="158"/>
      <c r="B264" s="158"/>
    </row>
    <row r="265" spans="1:2" ht="15">
      <c r="A265" s="158"/>
      <c r="B265" s="158"/>
    </row>
    <row r="266" spans="1:2" ht="15">
      <c r="A266" s="158"/>
      <c r="B266" s="158"/>
    </row>
    <row r="267" spans="1:2" ht="15">
      <c r="A267" s="158"/>
      <c r="B267" s="158"/>
    </row>
    <row r="268" spans="1:2" ht="15">
      <c r="A268" s="158"/>
      <c r="B268" s="158"/>
    </row>
    <row r="269" spans="1:2" ht="15">
      <c r="A269" s="158"/>
      <c r="B269" s="158"/>
    </row>
    <row r="270" spans="1:2" ht="15">
      <c r="A270" s="158"/>
      <c r="B270" s="158"/>
    </row>
    <row r="271" spans="1:2" ht="15">
      <c r="A271" s="158"/>
      <c r="B271" s="158"/>
    </row>
    <row r="272" spans="1:2" ht="15">
      <c r="A272" s="158"/>
      <c r="B272" s="158"/>
    </row>
    <row r="273" spans="1:2" ht="15">
      <c r="A273" s="158"/>
      <c r="B273" s="158"/>
    </row>
    <row r="274" spans="1:2" ht="15">
      <c r="A274" s="158"/>
      <c r="B274" s="158"/>
    </row>
    <row r="275" spans="1:2" ht="15">
      <c r="A275" s="158"/>
      <c r="B275" s="158"/>
    </row>
    <row r="276" spans="1:2" ht="15">
      <c r="A276" s="158"/>
      <c r="B276" s="158"/>
    </row>
    <row r="277" spans="1:2" ht="15">
      <c r="A277" s="158"/>
      <c r="B277" s="158"/>
    </row>
    <row r="278" spans="1:2" ht="15">
      <c r="A278" s="158"/>
      <c r="B278" s="158"/>
    </row>
    <row r="279" spans="1:2" ht="15">
      <c r="A279" s="158"/>
      <c r="B279" s="158"/>
    </row>
    <row r="280" spans="1:2" ht="15">
      <c r="A280" s="158"/>
      <c r="B280" s="158"/>
    </row>
    <row r="281" spans="1:2" ht="15">
      <c r="A281" s="158"/>
      <c r="B281" s="158"/>
    </row>
    <row r="282" spans="1:2" ht="15">
      <c r="A282" s="158"/>
      <c r="B282" s="158"/>
    </row>
    <row r="283" spans="1:2" ht="15">
      <c r="A283" s="158"/>
      <c r="B283" s="158"/>
    </row>
    <row r="284" spans="1:2" ht="15">
      <c r="A284" s="158"/>
      <c r="B284" s="158"/>
    </row>
    <row r="285" spans="1:2" ht="15">
      <c r="A285" s="158"/>
      <c r="B285" s="158"/>
    </row>
    <row r="286" spans="1:2" ht="15">
      <c r="A286" s="158"/>
      <c r="B286" s="158"/>
    </row>
    <row r="287" spans="1:2" ht="15">
      <c r="A287" s="158"/>
      <c r="B287" s="158"/>
    </row>
    <row r="288" spans="1:2" ht="15">
      <c r="A288" s="158"/>
      <c r="B288" s="158"/>
    </row>
    <row r="289" spans="1:2" ht="15">
      <c r="A289" s="158"/>
      <c r="B289" s="158"/>
    </row>
    <row r="290" spans="1:2" ht="15">
      <c r="A290" s="158"/>
      <c r="B290" s="158"/>
    </row>
    <row r="291" spans="1:2" ht="15">
      <c r="A291" s="158"/>
      <c r="B291" s="158"/>
    </row>
    <row r="292" spans="1:2" ht="15">
      <c r="A292" s="158"/>
      <c r="B292" s="158"/>
    </row>
    <row r="293" spans="1:2" ht="15">
      <c r="A293" s="158"/>
      <c r="B293" s="158"/>
    </row>
    <row r="294" spans="1:2" ht="15">
      <c r="A294" s="158"/>
      <c r="B294" s="158"/>
    </row>
    <row r="295" spans="1:2" ht="15">
      <c r="A295" s="158"/>
      <c r="B295" s="158"/>
    </row>
    <row r="296" spans="1:2" ht="15">
      <c r="A296" s="158"/>
      <c r="B296" s="158"/>
    </row>
    <row r="297" spans="1:2" ht="15">
      <c r="A297" s="158"/>
      <c r="B297" s="158"/>
    </row>
    <row r="298" spans="1:2" ht="15">
      <c r="A298" s="158"/>
      <c r="B298" s="158"/>
    </row>
    <row r="299" spans="1:2" ht="15">
      <c r="A299" s="158"/>
      <c r="B299" s="158"/>
    </row>
    <row r="300" spans="1:2" ht="15">
      <c r="A300" s="158"/>
      <c r="B300" s="158"/>
    </row>
    <row r="301" spans="1:2" ht="15">
      <c r="A301" s="158"/>
      <c r="B301" s="158"/>
    </row>
    <row r="302" spans="1:2" ht="15">
      <c r="A302" s="158"/>
      <c r="B302" s="158"/>
    </row>
    <row r="303" spans="1:2" ht="15">
      <c r="A303" s="158"/>
      <c r="B303" s="158"/>
    </row>
    <row r="304" spans="1:2" ht="15">
      <c r="A304" s="158"/>
      <c r="B304" s="158"/>
    </row>
    <row r="305" spans="1:2" ht="15">
      <c r="A305" s="158"/>
      <c r="B305" s="158"/>
    </row>
    <row r="306" spans="1:2" ht="15">
      <c r="A306" s="158"/>
      <c r="B306" s="158"/>
    </row>
    <row r="307" spans="1:2" ht="15">
      <c r="A307" s="158"/>
      <c r="B307" s="158"/>
    </row>
    <row r="308" spans="1:2" ht="15">
      <c r="A308" s="158"/>
      <c r="B308" s="158"/>
    </row>
    <row r="309" spans="1:2" ht="15">
      <c r="A309" s="158"/>
      <c r="B309" s="158"/>
    </row>
    <row r="310" spans="1:2" ht="15">
      <c r="A310" s="158"/>
      <c r="B310" s="158"/>
    </row>
    <row r="311" spans="1:2" ht="15">
      <c r="A311" s="158"/>
      <c r="B311" s="158"/>
    </row>
    <row r="312" spans="1:2" ht="15">
      <c r="A312" s="158"/>
      <c r="B312" s="158"/>
    </row>
    <row r="313" spans="1:2" ht="15">
      <c r="A313" s="158"/>
      <c r="B313" s="158"/>
    </row>
    <row r="314" spans="1:2" ht="15">
      <c r="A314" s="158"/>
      <c r="B314" s="158"/>
    </row>
    <row r="315" spans="1:2" ht="15">
      <c r="A315" s="158"/>
      <c r="B315" s="158"/>
    </row>
    <row r="316" spans="1:2" ht="15">
      <c r="A316" s="158"/>
      <c r="B316" s="158"/>
    </row>
    <row r="317" spans="1:2" ht="15">
      <c r="A317" s="158"/>
      <c r="B317" s="158"/>
    </row>
    <row r="318" spans="1:2" ht="15">
      <c r="A318" s="158"/>
      <c r="B318" s="158"/>
    </row>
    <row r="319" spans="1:2" ht="15">
      <c r="A319" s="158"/>
      <c r="B319" s="158"/>
    </row>
    <row r="320" spans="1:2" ht="15">
      <c r="A320" s="158"/>
      <c r="B320" s="158"/>
    </row>
    <row r="321" spans="1:2" ht="15">
      <c r="A321" s="158"/>
      <c r="B321" s="158"/>
    </row>
    <row r="322" spans="1:2" ht="15">
      <c r="A322" s="158"/>
      <c r="B322" s="158"/>
    </row>
    <row r="323" spans="1:2" ht="15">
      <c r="A323" s="158"/>
      <c r="B323" s="158"/>
    </row>
    <row r="324" spans="1:2" ht="15">
      <c r="A324" s="158"/>
      <c r="B324" s="158"/>
    </row>
    <row r="325" spans="1:2" ht="15">
      <c r="A325" s="158"/>
      <c r="B325" s="158"/>
    </row>
    <row r="326" spans="1:2" ht="15">
      <c r="A326" s="158"/>
      <c r="B326" s="158"/>
    </row>
    <row r="327" spans="1:2" ht="15">
      <c r="A327" s="158"/>
      <c r="B327" s="158"/>
    </row>
    <row r="328" spans="1:2" ht="15">
      <c r="A328" s="158"/>
      <c r="B328" s="158"/>
    </row>
    <row r="329" spans="1:2" ht="15">
      <c r="A329" s="158"/>
      <c r="B329" s="158"/>
    </row>
    <row r="330" spans="1:2" ht="15">
      <c r="A330" s="158"/>
      <c r="B330" s="158"/>
    </row>
    <row r="331" spans="1:2" ht="15">
      <c r="A331" s="158"/>
      <c r="B331" s="158"/>
    </row>
    <row r="332" spans="1:2" ht="15">
      <c r="A332" s="158"/>
      <c r="B332" s="158"/>
    </row>
    <row r="333" spans="1:2" ht="15">
      <c r="A333" s="158"/>
      <c r="B333" s="158"/>
    </row>
    <row r="334" spans="1:2" ht="15">
      <c r="A334" s="158"/>
      <c r="B334" s="158"/>
    </row>
    <row r="335" spans="1:2" ht="15">
      <c r="A335" s="158"/>
      <c r="B335" s="158"/>
    </row>
    <row r="336" spans="1:2" ht="15">
      <c r="A336" s="158"/>
      <c r="B336" s="158"/>
    </row>
    <row r="337" spans="1:2" ht="15">
      <c r="A337" s="158"/>
      <c r="B337" s="158"/>
    </row>
    <row r="338" spans="1:2" ht="15">
      <c r="A338" s="158"/>
      <c r="B338" s="158"/>
    </row>
    <row r="339" spans="1:2" ht="15">
      <c r="A339" s="158"/>
      <c r="B339" s="158"/>
    </row>
    <row r="340" spans="1:2" ht="15">
      <c r="A340" s="158"/>
      <c r="B340" s="158"/>
    </row>
    <row r="341" spans="1:2" ht="15">
      <c r="A341" s="158"/>
      <c r="B341" s="158"/>
    </row>
    <row r="342" spans="1:2" ht="15">
      <c r="A342" s="158"/>
      <c r="B342" s="158"/>
    </row>
    <row r="343" spans="1:2" ht="15">
      <c r="A343" s="158"/>
      <c r="B343" s="158"/>
    </row>
    <row r="344" spans="1:2" ht="15">
      <c r="A344" s="158"/>
      <c r="B344" s="158"/>
    </row>
    <row r="345" spans="1:2" ht="15">
      <c r="A345" s="158"/>
      <c r="B345" s="158"/>
    </row>
    <row r="346" spans="1:2" ht="15">
      <c r="A346" s="158"/>
      <c r="B346" s="158"/>
    </row>
    <row r="347" spans="1:2" ht="15">
      <c r="A347" s="158"/>
      <c r="B347" s="158"/>
    </row>
    <row r="348" spans="1:2" ht="15">
      <c r="A348" s="158"/>
      <c r="B348" s="158"/>
    </row>
    <row r="349" spans="1:2" ht="15">
      <c r="A349" s="158"/>
      <c r="B349" s="158"/>
    </row>
    <row r="350" spans="1:2" ht="15">
      <c r="A350" s="158"/>
      <c r="B350" s="158"/>
    </row>
    <row r="351" spans="1:2" ht="15">
      <c r="A351" s="158"/>
      <c r="B351" s="158"/>
    </row>
    <row r="352" spans="1:2" ht="15">
      <c r="A352" s="158"/>
      <c r="B352" s="158"/>
    </row>
    <row r="353" spans="1:2" ht="15">
      <c r="A353" s="158"/>
      <c r="B353" s="158"/>
    </row>
    <row r="354" spans="1:2" ht="15">
      <c r="A354" s="158"/>
      <c r="B354" s="158"/>
    </row>
    <row r="355" spans="1:2" ht="15">
      <c r="A355" s="158"/>
      <c r="B355" s="158"/>
    </row>
  </sheetData>
  <printOptions/>
  <pageMargins left="0.75" right="0.75" top="1" bottom="1" header="0.5" footer="0.5"/>
  <pageSetup orientation="portrait" paperSize="9"/>
  <legacyDrawing r:id="rId2"/>
</worksheet>
</file>

<file path=xl/worksheets/sheet4.xml><?xml version="1.0" encoding="utf-8"?>
<worksheet xmlns="http://schemas.openxmlformats.org/spreadsheetml/2006/main" xmlns:r="http://schemas.openxmlformats.org/officeDocument/2006/relationships">
  <dimension ref="A1:K89"/>
  <sheetViews>
    <sheetView workbookViewId="0" topLeftCell="A1">
      <selection activeCell="B4" sqref="B4"/>
    </sheetView>
  </sheetViews>
  <sheetFormatPr defaultColWidth="9.140625" defaultRowHeight="12.75"/>
  <cols>
    <col min="1" max="1" width="18.140625" style="0" customWidth="1"/>
    <col min="2" max="2" width="12.57421875" style="0" customWidth="1"/>
    <col min="3" max="3" width="20.00390625" style="0" customWidth="1"/>
    <col min="4" max="4" width="17.57421875" style="0" customWidth="1"/>
    <col min="5" max="5" width="14.8515625" style="0" customWidth="1"/>
    <col min="6" max="6" width="5.8515625" style="0" customWidth="1"/>
    <col min="7" max="7" width="24.57421875" style="0" customWidth="1"/>
    <col min="8" max="8" width="6.57421875" style="0" customWidth="1"/>
    <col min="9" max="9" width="4.421875" style="0" customWidth="1"/>
    <col min="10" max="10" width="6.7109375" style="0" customWidth="1"/>
    <col min="11" max="11" width="16.28125" style="0" customWidth="1"/>
  </cols>
  <sheetData>
    <row r="1" spans="1:11" ht="24.75" customHeight="1">
      <c r="A1" s="270" t="s">
        <v>339</v>
      </c>
      <c r="B1" s="271"/>
      <c r="C1" s="271"/>
      <c r="D1" s="271"/>
      <c r="E1" s="271"/>
      <c r="F1" s="271"/>
      <c r="G1" s="271"/>
      <c r="H1" s="271"/>
      <c r="I1" s="271"/>
      <c r="J1" s="271"/>
      <c r="K1" s="272"/>
    </row>
    <row r="2" spans="1:11" ht="12.75">
      <c r="A2" s="156"/>
      <c r="B2" s="113"/>
      <c r="C2" s="113"/>
      <c r="D2" s="113"/>
      <c r="E2" s="113"/>
      <c r="F2" s="113"/>
      <c r="G2" s="113"/>
      <c r="H2" s="113"/>
      <c r="I2" s="113"/>
      <c r="J2" s="113"/>
      <c r="K2" s="153"/>
    </row>
    <row r="3" spans="1:11" ht="12.75">
      <c r="A3" s="156" t="s">
        <v>417</v>
      </c>
      <c r="B3" s="174">
        <f>E3*'Quantity-Structured'!D10+H3</f>
        <v>0</v>
      </c>
      <c r="C3" s="113" t="s">
        <v>418</v>
      </c>
      <c r="D3" s="113" t="s">
        <v>419</v>
      </c>
      <c r="E3" s="174">
        <f>('Quantity-Structured'!D5*('Quantity-Structured'!D9+'Quantity-Structured'!D12)*(40+9*'Quantity-Structured'!D6)+'Quantity-Structured'!I11*'Quantity-Structured'!D5*'Quantity-Structured'!D8*(40+9*'Quantity-Structured'!D6)+'Quantity-Structured'!D5*(40+9*'Quantity-Structured'!D6))/GB</f>
        <v>0</v>
      </c>
      <c r="F3" s="113" t="s">
        <v>418</v>
      </c>
      <c r="G3" s="113" t="s">
        <v>420</v>
      </c>
      <c r="H3" s="174">
        <f>E3*1.3</f>
        <v>0</v>
      </c>
      <c r="I3" s="174" t="s">
        <v>418</v>
      </c>
      <c r="J3" s="113"/>
      <c r="K3" s="192"/>
    </row>
    <row r="4" spans="1:11" ht="12.75">
      <c r="A4" s="156" t="s">
        <v>422</v>
      </c>
      <c r="B4" s="177">
        <f>(2200*(('Quantity-Structured'!D5*'Quantity-Structured'!D13/100)/(Workload!D4*60))/(57600/3600))*$J4*1/0.66</f>
        <v>0</v>
      </c>
      <c r="C4" s="113" t="s">
        <v>423</v>
      </c>
      <c r="D4" s="113" t="s">
        <v>424</v>
      </c>
      <c r="E4" s="178">
        <f>100*$B4/250</f>
        <v>0</v>
      </c>
      <c r="F4" s="113" t="s">
        <v>425</v>
      </c>
      <c r="G4" s="113"/>
      <c r="H4" s="113"/>
      <c r="I4" s="113"/>
      <c r="J4" s="175">
        <v>0.05</v>
      </c>
      <c r="K4" s="176" t="s">
        <v>421</v>
      </c>
    </row>
    <row r="5" spans="1:11" ht="12.75">
      <c r="A5" s="156" t="s">
        <v>427</v>
      </c>
      <c r="B5" s="177">
        <f>(2200*(('Quantity-Structured'!D5*'Quantity-Structured'!D13/100)/(Workload!D4*60))/(57600/3600))*$J5*1/0.66</f>
        <v>0</v>
      </c>
      <c r="C5" s="113" t="s">
        <v>423</v>
      </c>
      <c r="D5" s="113" t="s">
        <v>428</v>
      </c>
      <c r="E5" s="178">
        <f>100*$B5/250</f>
        <v>0</v>
      </c>
      <c r="F5" s="113" t="s">
        <v>425</v>
      </c>
      <c r="G5" s="113"/>
      <c r="H5" s="113"/>
      <c r="I5" s="113"/>
      <c r="J5" s="175">
        <v>0.85</v>
      </c>
      <c r="K5" s="176" t="s">
        <v>426</v>
      </c>
    </row>
    <row r="6" spans="1:11" ht="12.75">
      <c r="A6" s="156" t="s">
        <v>430</v>
      </c>
      <c r="B6" s="177">
        <f>(2200*(('Quantity-Structured'!D5*'Quantity-Structured'!D13/100)/(Workload!D4*60))/(57600/3600))*$J6*1/0.66</f>
        <v>0</v>
      </c>
      <c r="C6" s="113" t="s">
        <v>423</v>
      </c>
      <c r="D6" s="113" t="s">
        <v>431</v>
      </c>
      <c r="E6" s="174">
        <f>'liveCache (Memory)'!H85</f>
        <v>0</v>
      </c>
      <c r="F6" s="113" t="s">
        <v>418</v>
      </c>
      <c r="G6" s="113"/>
      <c r="H6" s="113"/>
      <c r="I6" s="113"/>
      <c r="J6" s="175">
        <v>0.1</v>
      </c>
      <c r="K6" s="176" t="s">
        <v>429</v>
      </c>
    </row>
    <row r="7" spans="1:11" ht="12.75">
      <c r="A7" s="156"/>
      <c r="B7" s="177"/>
      <c r="C7" s="113"/>
      <c r="D7" s="113"/>
      <c r="E7" s="174"/>
      <c r="F7" s="113"/>
      <c r="G7" s="113"/>
      <c r="H7" s="113"/>
      <c r="I7" s="113"/>
      <c r="J7" s="175"/>
      <c r="K7" s="176"/>
    </row>
    <row r="8" spans="1:11" ht="19.5" customHeight="1">
      <c r="A8" s="200" t="s">
        <v>450</v>
      </c>
      <c r="B8" s="123"/>
      <c r="C8" s="123"/>
      <c r="D8" s="123"/>
      <c r="E8" s="123"/>
      <c r="F8" s="123"/>
      <c r="G8" s="123"/>
      <c r="H8" s="123"/>
      <c r="I8" s="123"/>
      <c r="J8" s="123"/>
      <c r="K8" s="214"/>
    </row>
    <row r="9" spans="1:11" ht="12.75">
      <c r="A9" s="156"/>
      <c r="B9" s="113"/>
      <c r="C9" s="113"/>
      <c r="D9" s="113"/>
      <c r="E9" s="113"/>
      <c r="F9" s="113"/>
      <c r="G9" s="113"/>
      <c r="H9" s="113"/>
      <c r="I9" s="113"/>
      <c r="J9" s="113"/>
      <c r="K9" s="153"/>
    </row>
    <row r="10" spans="1:11" ht="12.75">
      <c r="A10" s="156" t="s">
        <v>422</v>
      </c>
      <c r="B10" s="177">
        <f>(2000*('Quantity-Structured'!D41/(Workload!D5*60))/(250239/3600))*$J10/0.66</f>
        <v>0</v>
      </c>
      <c r="C10" s="113" t="s">
        <v>423</v>
      </c>
      <c r="D10" s="113" t="s">
        <v>424</v>
      </c>
      <c r="E10" s="178">
        <f>100*$B10/250</f>
        <v>0</v>
      </c>
      <c r="F10" s="113" t="s">
        <v>425</v>
      </c>
      <c r="G10" s="113"/>
      <c r="H10" s="113"/>
      <c r="I10" s="113"/>
      <c r="J10" s="175">
        <v>0.1</v>
      </c>
      <c r="K10" s="176" t="s">
        <v>421</v>
      </c>
    </row>
    <row r="11" spans="1:11" ht="12.75">
      <c r="A11" s="156" t="s">
        <v>427</v>
      </c>
      <c r="B11" s="177">
        <f>(2000*('Quantity-Structured'!D41/(Workload!D5*60))/(250239/3600))*$J11/0.66</f>
        <v>0</v>
      </c>
      <c r="C11" s="113" t="s">
        <v>423</v>
      </c>
      <c r="D11" s="113" t="s">
        <v>428</v>
      </c>
      <c r="E11" s="178">
        <f>100*$B11/250</f>
        <v>0</v>
      </c>
      <c r="F11" s="113" t="s">
        <v>425</v>
      </c>
      <c r="G11" s="113"/>
      <c r="H11" s="113"/>
      <c r="I11" s="113"/>
      <c r="J11" s="175">
        <v>0.49</v>
      </c>
      <c r="K11" s="176" t="s">
        <v>426</v>
      </c>
    </row>
    <row r="12" spans="1:11" ht="12.75">
      <c r="A12" s="156" t="s">
        <v>430</v>
      </c>
      <c r="B12" s="177">
        <f>(2000*('Quantity-Structured'!D41/(Workload!D5*60))/(250239/3600))*$J12/0.66</f>
        <v>0</v>
      </c>
      <c r="C12" s="113" t="s">
        <v>423</v>
      </c>
      <c r="D12" s="113" t="s">
        <v>431</v>
      </c>
      <c r="E12" s="179">
        <f>'liveCache (Memory)'!H45</f>
        <v>0</v>
      </c>
      <c r="F12" s="113" t="s">
        <v>418</v>
      </c>
      <c r="G12" s="113"/>
      <c r="H12" s="113"/>
      <c r="I12" s="113"/>
      <c r="J12" s="175">
        <v>0.41</v>
      </c>
      <c r="K12" s="176" t="s">
        <v>429</v>
      </c>
    </row>
    <row r="13" spans="1:11" ht="12.75">
      <c r="A13" s="156"/>
      <c r="B13" s="113"/>
      <c r="C13" s="113"/>
      <c r="D13" s="113"/>
      <c r="E13" s="178"/>
      <c r="F13" s="113"/>
      <c r="G13" s="113"/>
      <c r="H13" s="113"/>
      <c r="I13" s="113"/>
      <c r="J13" s="113"/>
      <c r="K13" s="153"/>
    </row>
    <row r="14" spans="1:11" ht="20.25" customHeight="1">
      <c r="A14" s="264" t="s">
        <v>10</v>
      </c>
      <c r="B14" s="265"/>
      <c r="C14" s="265"/>
      <c r="D14" s="265"/>
      <c r="E14" s="265"/>
      <c r="F14" s="265"/>
      <c r="G14" s="265"/>
      <c r="H14" s="265"/>
      <c r="I14" s="265"/>
      <c r="J14" s="265"/>
      <c r="K14" s="266"/>
    </row>
    <row r="15" spans="1:11" ht="12.75">
      <c r="A15" s="156"/>
      <c r="B15" s="179"/>
      <c r="C15" s="113"/>
      <c r="D15" s="113"/>
      <c r="E15" s="113"/>
      <c r="F15" s="113"/>
      <c r="G15" s="113"/>
      <c r="H15" s="113"/>
      <c r="I15" s="113"/>
      <c r="J15" s="113"/>
      <c r="K15" s="153"/>
    </row>
    <row r="16" spans="1:11" ht="12.75">
      <c r="A16" s="156" t="s">
        <v>422</v>
      </c>
      <c r="B16" s="177">
        <f>('User-Based'!E6+'User-Based'!D6/3+'User-Based'!C6/30)*60/(4000/2200)*$J16/0.66</f>
        <v>0</v>
      </c>
      <c r="C16" s="113" t="s">
        <v>423</v>
      </c>
      <c r="D16" s="113" t="s">
        <v>424</v>
      </c>
      <c r="E16" s="178">
        <f>1*('User-Based'!E6+'User-Based'!D6/3+'User-Based'!C6/30)</f>
        <v>0</v>
      </c>
      <c r="F16" s="113" t="s">
        <v>425</v>
      </c>
      <c r="G16" s="113"/>
      <c r="H16" s="113"/>
      <c r="I16" s="113"/>
      <c r="J16" s="175">
        <v>0.1</v>
      </c>
      <c r="K16" s="176" t="s">
        <v>421</v>
      </c>
    </row>
    <row r="17" spans="1:11" ht="12.75">
      <c r="A17" s="156" t="s">
        <v>427</v>
      </c>
      <c r="B17" s="177">
        <f>('User-Based'!E6+'User-Based'!D6/3+'User-Based'!C6/30)*60/(4000/2200)*$J17/0.66</f>
        <v>0</v>
      </c>
      <c r="C17" s="113" t="s">
        <v>423</v>
      </c>
      <c r="D17" s="113" t="s">
        <v>428</v>
      </c>
      <c r="E17" s="178">
        <f>11.05*('User-Based'!E6+'User-Based'!D6/3+'User-Based'!C6/30)</f>
        <v>0</v>
      </c>
      <c r="F17" s="113" t="s">
        <v>425</v>
      </c>
      <c r="G17" s="113"/>
      <c r="H17" s="113"/>
      <c r="I17" s="113"/>
      <c r="J17" s="175">
        <v>0.49</v>
      </c>
      <c r="K17" s="176" t="s">
        <v>426</v>
      </c>
    </row>
    <row r="18" spans="1:11" ht="12.75">
      <c r="A18" s="156" t="s">
        <v>430</v>
      </c>
      <c r="B18" s="177">
        <f>('User-Based'!E6+'User-Based'!D6/3+'User-Based'!C6/30)*60/(4000/2200)*$J18/0.66</f>
        <v>0</v>
      </c>
      <c r="C18" s="113" t="s">
        <v>423</v>
      </c>
      <c r="D18" s="113" t="s">
        <v>431</v>
      </c>
      <c r="E18" s="179">
        <f>'liveCache (Memory)'!H74*IF(('User-Based'!E6+'User-Based'!D6+'User-Based'!C6&gt;0),1,0)</f>
        <v>0</v>
      </c>
      <c r="F18" s="113" t="s">
        <v>418</v>
      </c>
      <c r="G18" s="113"/>
      <c r="H18" s="113"/>
      <c r="I18" s="113"/>
      <c r="J18" s="175">
        <v>0.41</v>
      </c>
      <c r="K18" s="176" t="s">
        <v>429</v>
      </c>
    </row>
    <row r="19" spans="1:11" ht="12.75">
      <c r="A19" s="156"/>
      <c r="B19" s="177"/>
      <c r="C19" s="113"/>
      <c r="D19" s="113"/>
      <c r="E19" s="179"/>
      <c r="F19" s="113"/>
      <c r="G19" s="113"/>
      <c r="H19" s="113"/>
      <c r="I19" s="113"/>
      <c r="J19" s="175"/>
      <c r="K19" s="176"/>
    </row>
    <row r="20" spans="1:11" s="201" customFormat="1" ht="20.25" customHeight="1">
      <c r="A20" s="273" t="s">
        <v>400</v>
      </c>
      <c r="B20" s="274"/>
      <c r="C20" s="274"/>
      <c r="D20" s="274"/>
      <c r="E20" s="274"/>
      <c r="F20" s="274"/>
      <c r="G20" s="274"/>
      <c r="H20" s="274"/>
      <c r="I20" s="274"/>
      <c r="J20" s="274"/>
      <c r="K20" s="275"/>
    </row>
    <row r="21" spans="1:11" s="201" customFormat="1" ht="12.75">
      <c r="A21" s="202" t="s">
        <v>442</v>
      </c>
      <c r="B21" s="173"/>
      <c r="C21" s="173"/>
      <c r="D21" s="173"/>
      <c r="E21" s="173"/>
      <c r="F21" s="173"/>
      <c r="G21" s="173"/>
      <c r="H21" s="173"/>
      <c r="I21" s="173"/>
      <c r="J21" s="173"/>
      <c r="K21" s="203"/>
    </row>
    <row r="22" spans="1:11" s="201" customFormat="1" ht="12.75">
      <c r="A22" s="202" t="s">
        <v>422</v>
      </c>
      <c r="B22" s="204">
        <f>200*('Quantity-Structured'!D48/$H22)*$J22/0.33</f>
        <v>0</v>
      </c>
      <c r="C22" s="173" t="s">
        <v>432</v>
      </c>
      <c r="D22" s="173" t="s">
        <v>424</v>
      </c>
      <c r="E22" s="205">
        <f>1.5*$B22/8</f>
        <v>0</v>
      </c>
      <c r="F22" s="173" t="s">
        <v>425</v>
      </c>
      <c r="G22" s="173" t="s">
        <v>445</v>
      </c>
      <c r="H22" s="173">
        <f>3600/0.6</f>
        <v>6000</v>
      </c>
      <c r="I22" s="173"/>
      <c r="J22" s="206">
        <v>0.27</v>
      </c>
      <c r="K22" s="207" t="s">
        <v>421</v>
      </c>
    </row>
    <row r="23" spans="1:11" s="201" customFormat="1" ht="12.75">
      <c r="A23" s="202" t="s">
        <v>427</v>
      </c>
      <c r="B23" s="204">
        <f>200*('Quantity-Structured'!D49/$H22)*$J23/0.33</f>
        <v>0</v>
      </c>
      <c r="C23" s="173" t="s">
        <v>432</v>
      </c>
      <c r="D23" s="173" t="s">
        <v>428</v>
      </c>
      <c r="E23" s="205">
        <f>1*$B23</f>
        <v>0</v>
      </c>
      <c r="F23" s="173" t="s">
        <v>425</v>
      </c>
      <c r="G23" s="173" t="s">
        <v>433</v>
      </c>
      <c r="H23" s="173"/>
      <c r="I23" s="173"/>
      <c r="J23" s="206">
        <v>0.44</v>
      </c>
      <c r="K23" s="207" t="s">
        <v>426</v>
      </c>
    </row>
    <row r="24" spans="1:11" s="201" customFormat="1" ht="12.75">
      <c r="A24" s="202" t="s">
        <v>430</v>
      </c>
      <c r="B24" s="204">
        <f>200*('Quantity-Structured'!D50/$H22)*$J24/0.33</f>
        <v>0</v>
      </c>
      <c r="C24" s="173" t="s">
        <v>432</v>
      </c>
      <c r="D24" s="173" t="s">
        <v>431</v>
      </c>
      <c r="E24" s="205">
        <v>0</v>
      </c>
      <c r="F24" s="173" t="s">
        <v>425</v>
      </c>
      <c r="G24" s="173"/>
      <c r="H24" s="173"/>
      <c r="I24" s="173"/>
      <c r="J24" s="206">
        <v>0.29</v>
      </c>
      <c r="K24" s="207" t="s">
        <v>429</v>
      </c>
    </row>
    <row r="25" spans="1:11" s="201" customFormat="1" ht="12.75">
      <c r="A25" s="202" t="s">
        <v>443</v>
      </c>
      <c r="B25" s="173"/>
      <c r="C25" s="173"/>
      <c r="D25" s="173"/>
      <c r="E25" s="173"/>
      <c r="F25" s="173"/>
      <c r="G25" s="173"/>
      <c r="H25" s="173"/>
      <c r="I25" s="173"/>
      <c r="J25" s="173"/>
      <c r="K25" s="203"/>
    </row>
    <row r="26" spans="1:11" s="201" customFormat="1" ht="12.75">
      <c r="A26" s="202" t="s">
        <v>422</v>
      </c>
      <c r="B26" s="204">
        <f>200*('Quantity-Structured'!D49/$H26)*$J26/0.33</f>
        <v>0</v>
      </c>
      <c r="C26" s="173" t="s">
        <v>432</v>
      </c>
      <c r="D26" s="173" t="s">
        <v>424</v>
      </c>
      <c r="E26" s="205">
        <f>1.5*$B26/8</f>
        <v>0</v>
      </c>
      <c r="F26" s="173" t="s">
        <v>425</v>
      </c>
      <c r="G26" s="173" t="s">
        <v>446</v>
      </c>
      <c r="H26" s="173">
        <f>3600/0.6</f>
        <v>6000</v>
      </c>
      <c r="I26" s="173"/>
      <c r="J26" s="206">
        <v>0.27</v>
      </c>
      <c r="K26" s="207" t="s">
        <v>421</v>
      </c>
    </row>
    <row r="27" spans="1:11" s="201" customFormat="1" ht="12.75">
      <c r="A27" s="202" t="s">
        <v>427</v>
      </c>
      <c r="B27" s="204">
        <f>200*('Quantity-Structured'!D49/$H26)*$J27/0.33</f>
        <v>0</v>
      </c>
      <c r="C27" s="173" t="s">
        <v>432</v>
      </c>
      <c r="D27" s="173" t="s">
        <v>428</v>
      </c>
      <c r="E27" s="205">
        <f>1*$B27</f>
        <v>0</v>
      </c>
      <c r="F27" s="173" t="s">
        <v>425</v>
      </c>
      <c r="G27" s="173" t="s">
        <v>433</v>
      </c>
      <c r="H27" s="173"/>
      <c r="I27" s="173"/>
      <c r="J27" s="206">
        <v>0.44</v>
      </c>
      <c r="K27" s="207" t="s">
        <v>426</v>
      </c>
    </row>
    <row r="28" spans="1:11" s="201" customFormat="1" ht="12.75">
      <c r="A28" s="202" t="s">
        <v>430</v>
      </c>
      <c r="B28" s="204">
        <f>200*('Quantity-Structured'!D49/$H26)*$J28/0.33</f>
        <v>0</v>
      </c>
      <c r="C28" s="173" t="s">
        <v>432</v>
      </c>
      <c r="D28" s="173" t="s">
        <v>431</v>
      </c>
      <c r="E28" s="205">
        <v>0</v>
      </c>
      <c r="F28" s="173" t="s">
        <v>425</v>
      </c>
      <c r="G28" s="173"/>
      <c r="H28" s="173"/>
      <c r="I28" s="173"/>
      <c r="J28" s="206">
        <v>0.29</v>
      </c>
      <c r="K28" s="207" t="s">
        <v>429</v>
      </c>
    </row>
    <row r="29" spans="1:11" s="201" customFormat="1" ht="12.75">
      <c r="A29" s="202" t="s">
        <v>444</v>
      </c>
      <c r="B29" s="173"/>
      <c r="C29" s="173"/>
      <c r="D29" s="173"/>
      <c r="E29" s="173"/>
      <c r="F29" s="173"/>
      <c r="G29" s="173"/>
      <c r="H29" s="173"/>
      <c r="I29" s="173"/>
      <c r="J29" s="173"/>
      <c r="K29" s="203"/>
    </row>
    <row r="30" spans="1:11" s="201" customFormat="1" ht="12.75">
      <c r="A30" s="202" t="s">
        <v>422</v>
      </c>
      <c r="B30" s="204">
        <f>200*('Quantity-Structured'!D50/$H30)*$J30/0.33</f>
        <v>0</v>
      </c>
      <c r="C30" s="173" t="s">
        <v>432</v>
      </c>
      <c r="D30" s="173" t="s">
        <v>424</v>
      </c>
      <c r="E30" s="205">
        <f>1.5*$B30/8</f>
        <v>0</v>
      </c>
      <c r="F30" s="173" t="s">
        <v>425</v>
      </c>
      <c r="G30" s="173" t="s">
        <v>447</v>
      </c>
      <c r="H30" s="173">
        <f>3600/0.6</f>
        <v>6000</v>
      </c>
      <c r="I30" s="173"/>
      <c r="J30" s="206">
        <v>0.27</v>
      </c>
      <c r="K30" s="207" t="s">
        <v>421</v>
      </c>
    </row>
    <row r="31" spans="1:11" s="201" customFormat="1" ht="12.75">
      <c r="A31" s="202" t="s">
        <v>427</v>
      </c>
      <c r="B31" s="204">
        <f>200*('Quantity-Structured'!D50/$H30)*$J31/0.33</f>
        <v>0</v>
      </c>
      <c r="C31" s="173" t="s">
        <v>432</v>
      </c>
      <c r="D31" s="173" t="s">
        <v>428</v>
      </c>
      <c r="E31" s="205">
        <f>1*$B31</f>
        <v>0</v>
      </c>
      <c r="F31" s="173" t="s">
        <v>425</v>
      </c>
      <c r="G31" s="173" t="s">
        <v>433</v>
      </c>
      <c r="H31" s="173"/>
      <c r="I31" s="173"/>
      <c r="J31" s="206">
        <v>0.44</v>
      </c>
      <c r="K31" s="207" t="s">
        <v>426</v>
      </c>
    </row>
    <row r="32" spans="1:11" s="201" customFormat="1" ht="12.75">
      <c r="A32" s="202" t="s">
        <v>430</v>
      </c>
      <c r="B32" s="204">
        <f>200*('Quantity-Structured'!D50/$H30)*$J32/0.33</f>
        <v>0</v>
      </c>
      <c r="C32" s="173" t="s">
        <v>432</v>
      </c>
      <c r="D32" s="173" t="s">
        <v>431</v>
      </c>
      <c r="E32" s="205">
        <v>0</v>
      </c>
      <c r="F32" s="173" t="s">
        <v>425</v>
      </c>
      <c r="G32" s="173"/>
      <c r="H32" s="173"/>
      <c r="I32" s="173"/>
      <c r="J32" s="206">
        <v>0.29</v>
      </c>
      <c r="K32" s="207" t="s">
        <v>429</v>
      </c>
    </row>
    <row r="33" spans="1:11" ht="12.75">
      <c r="A33" s="156"/>
      <c r="B33" s="177"/>
      <c r="C33" s="113"/>
      <c r="D33" s="113"/>
      <c r="E33" s="178"/>
      <c r="F33" s="113"/>
      <c r="G33" s="113"/>
      <c r="H33" s="113"/>
      <c r="I33" s="113"/>
      <c r="J33" s="175"/>
      <c r="K33" s="176"/>
    </row>
    <row r="34" spans="1:11" ht="22.5" customHeight="1">
      <c r="A34" s="264" t="s">
        <v>434</v>
      </c>
      <c r="B34" s="265"/>
      <c r="C34" s="265"/>
      <c r="D34" s="265"/>
      <c r="E34" s="265"/>
      <c r="F34" s="265"/>
      <c r="G34" s="265"/>
      <c r="H34" s="265"/>
      <c r="I34" s="265"/>
      <c r="J34" s="265"/>
      <c r="K34" s="266"/>
    </row>
    <row r="35" spans="1:11" ht="12.75">
      <c r="A35" s="156"/>
      <c r="B35" s="113"/>
      <c r="C35" s="113"/>
      <c r="D35" s="113"/>
      <c r="E35" s="113"/>
      <c r="F35" s="113"/>
      <c r="G35" s="113"/>
      <c r="H35" s="113"/>
      <c r="I35" s="113"/>
      <c r="J35" s="113"/>
      <c r="K35" s="153"/>
    </row>
    <row r="36" spans="1:11" ht="12.75">
      <c r="A36" s="249" t="s">
        <v>473</v>
      </c>
      <c r="B36" s="113"/>
      <c r="C36" s="113"/>
      <c r="D36" s="113"/>
      <c r="E36" s="113"/>
      <c r="F36" s="113"/>
      <c r="G36" s="113"/>
      <c r="H36" s="113"/>
      <c r="I36" s="113"/>
      <c r="J36" s="113"/>
      <c r="K36" s="153"/>
    </row>
    <row r="37" spans="1:11" ht="12.75">
      <c r="A37" s="156" t="s">
        <v>422</v>
      </c>
      <c r="B37" s="177">
        <f>(('User-Based'!E3+'User-Based'!D3/3+'User-Based'!C3/30)*$H37)*$J37/0.33</f>
        <v>0</v>
      </c>
      <c r="C37" s="113" t="s">
        <v>432</v>
      </c>
      <c r="D37" s="113" t="s">
        <v>424</v>
      </c>
      <c r="E37" s="178">
        <f>1*('User-Based'!E3+'User-Based'!D3/3+'User-Based'!C3/30)</f>
        <v>0</v>
      </c>
      <c r="F37" s="113" t="s">
        <v>425</v>
      </c>
      <c r="G37" s="113" t="s">
        <v>435</v>
      </c>
      <c r="H37" s="113">
        <f>2*6</f>
        <v>12</v>
      </c>
      <c r="I37" s="113"/>
      <c r="J37" s="175">
        <v>0.2</v>
      </c>
      <c r="K37" s="176" t="s">
        <v>421</v>
      </c>
    </row>
    <row r="38" spans="1:11" ht="12.75">
      <c r="A38" s="156" t="s">
        <v>427</v>
      </c>
      <c r="B38" s="177">
        <f>(('User-Based'!E3+'User-Based'!D3/3+'User-Based'!C3/30)*$H37)*$J38/0.33</f>
        <v>0</v>
      </c>
      <c r="C38" s="113" t="s">
        <v>432</v>
      </c>
      <c r="D38" s="113" t="s">
        <v>428</v>
      </c>
      <c r="E38" s="178">
        <f>11.05*('User-Based'!E3+'User-Based'!D3/3+'User-Based'!C3/30)</f>
        <v>0</v>
      </c>
      <c r="F38" s="113" t="s">
        <v>425</v>
      </c>
      <c r="G38" s="113"/>
      <c r="H38" s="113"/>
      <c r="I38" s="113"/>
      <c r="J38" s="175">
        <v>0.41</v>
      </c>
      <c r="K38" s="176" t="s">
        <v>426</v>
      </c>
    </row>
    <row r="39" spans="1:11" ht="12.75">
      <c r="A39" s="156" t="s">
        <v>430</v>
      </c>
      <c r="B39" s="177">
        <f>(('User-Based'!E3+'User-Based'!D3/3+'User-Based'!C3/30)*$H37)*$J39/0.33</f>
        <v>0</v>
      </c>
      <c r="C39" s="113" t="s">
        <v>432</v>
      </c>
      <c r="D39" s="113" t="s">
        <v>431</v>
      </c>
      <c r="E39" s="178">
        <v>0</v>
      </c>
      <c r="F39" s="113" t="s">
        <v>425</v>
      </c>
      <c r="G39" s="113"/>
      <c r="H39" s="113"/>
      <c r="I39" s="113"/>
      <c r="J39" s="175">
        <v>0.39</v>
      </c>
      <c r="K39" s="176" t="s">
        <v>429</v>
      </c>
    </row>
    <row r="40" spans="1:11" ht="12.75">
      <c r="A40" s="156"/>
      <c r="B40" s="177"/>
      <c r="C40" s="113"/>
      <c r="D40" s="113"/>
      <c r="E40" s="178"/>
      <c r="F40" s="113"/>
      <c r="G40" s="113"/>
      <c r="H40" s="113"/>
      <c r="I40" s="113"/>
      <c r="J40" s="175"/>
      <c r="K40" s="176"/>
    </row>
    <row r="41" spans="1:11" ht="12.75">
      <c r="A41" s="249" t="s">
        <v>474</v>
      </c>
      <c r="B41" s="177"/>
      <c r="C41" s="113"/>
      <c r="D41" s="113"/>
      <c r="E41" s="178"/>
      <c r="F41" s="113"/>
      <c r="G41" s="113"/>
      <c r="H41" s="113"/>
      <c r="I41" s="113"/>
      <c r="J41" s="175"/>
      <c r="K41" s="176"/>
    </row>
    <row r="42" spans="1:11" ht="12.75">
      <c r="A42" s="156" t="s">
        <v>422</v>
      </c>
      <c r="B42" s="177">
        <f>(('User-Based'!E4+'User-Based'!D4/3+'User-Based'!C4/30)*$H42)*$J42/0.33</f>
        <v>0</v>
      </c>
      <c r="C42" s="113" t="s">
        <v>432</v>
      </c>
      <c r="D42" s="113" t="s">
        <v>424</v>
      </c>
      <c r="E42" s="178">
        <f>1*('User-Based'!E5+'User-Based'!D5/3+'User-Based'!C5/30)</f>
        <v>0</v>
      </c>
      <c r="F42" s="113" t="s">
        <v>425</v>
      </c>
      <c r="G42" s="113" t="s">
        <v>436</v>
      </c>
      <c r="H42" s="113">
        <f>2*6</f>
        <v>12</v>
      </c>
      <c r="I42" s="113"/>
      <c r="J42" s="175">
        <v>0.2</v>
      </c>
      <c r="K42" s="176" t="s">
        <v>421</v>
      </c>
    </row>
    <row r="43" spans="1:11" ht="12.75">
      <c r="A43" s="156" t="s">
        <v>427</v>
      </c>
      <c r="B43" s="177">
        <f>(('User-Based'!E4+'User-Based'!D4/3+'User-Based'!C4/30)*$H42)*$J43/0.33</f>
        <v>0</v>
      </c>
      <c r="C43" s="113" t="s">
        <v>432</v>
      </c>
      <c r="D43" s="113" t="s">
        <v>428</v>
      </c>
      <c r="E43" s="178">
        <f>10.4*('User-Based'!E5+'User-Based'!D5/3+'User-Based'!C5/30)</f>
        <v>0</v>
      </c>
      <c r="F43" s="113" t="s">
        <v>425</v>
      </c>
      <c r="G43" s="113"/>
      <c r="H43" s="113"/>
      <c r="I43" s="113"/>
      <c r="J43" s="175">
        <v>0.41</v>
      </c>
      <c r="K43" s="176" t="s">
        <v>426</v>
      </c>
    </row>
    <row r="44" spans="1:11" ht="12.75">
      <c r="A44" s="156" t="s">
        <v>430</v>
      </c>
      <c r="B44" s="177">
        <f>(('User-Based'!E4+'User-Based'!D4/3+'User-Based'!C4/30)*$H42)*$J44/0.33</f>
        <v>0</v>
      </c>
      <c r="C44" s="113" t="s">
        <v>432</v>
      </c>
      <c r="D44" s="113" t="s">
        <v>431</v>
      </c>
      <c r="E44" s="178">
        <v>0</v>
      </c>
      <c r="F44" s="113" t="s">
        <v>425</v>
      </c>
      <c r="G44" s="113"/>
      <c r="H44" s="113"/>
      <c r="I44" s="113"/>
      <c r="J44" s="175">
        <v>0.39</v>
      </c>
      <c r="K44" s="176" t="s">
        <v>429</v>
      </c>
    </row>
    <row r="45" spans="1:11" ht="12.75">
      <c r="A45" s="156"/>
      <c r="B45" s="177"/>
      <c r="C45" s="113"/>
      <c r="D45" s="113"/>
      <c r="E45" s="178"/>
      <c r="F45" s="113"/>
      <c r="G45" s="113"/>
      <c r="H45" s="113"/>
      <c r="I45" s="113"/>
      <c r="J45" s="175"/>
      <c r="K45" s="176"/>
    </row>
    <row r="46" spans="1:11" ht="12.75">
      <c r="A46" s="249" t="s">
        <v>475</v>
      </c>
      <c r="B46" s="177"/>
      <c r="C46" s="113"/>
      <c r="D46" s="113"/>
      <c r="E46" s="178"/>
      <c r="F46" s="113"/>
      <c r="G46" s="113"/>
      <c r="H46" s="113"/>
      <c r="I46" s="113"/>
      <c r="J46" s="175"/>
      <c r="K46" s="176"/>
    </row>
    <row r="47" spans="1:11" ht="12.75">
      <c r="A47" s="156" t="s">
        <v>422</v>
      </c>
      <c r="B47" s="177">
        <f>(('User-Based'!E5+'User-Based'!D5/3+'User-Based'!C5/30)*$H47)*$J47/0.33</f>
        <v>0</v>
      </c>
      <c r="C47" s="113" t="s">
        <v>432</v>
      </c>
      <c r="D47" s="113" t="s">
        <v>424</v>
      </c>
      <c r="E47" s="178">
        <f>1*('User-Based'!E5+'User-Based'!D5/3+'User-Based'!C5/30)</f>
        <v>0</v>
      </c>
      <c r="F47" s="113" t="s">
        <v>425</v>
      </c>
      <c r="G47" s="113" t="s">
        <v>476</v>
      </c>
      <c r="H47" s="113">
        <f>3*6</f>
        <v>18</v>
      </c>
      <c r="I47" s="113"/>
      <c r="J47" s="175">
        <v>0.2</v>
      </c>
      <c r="K47" s="176" t="s">
        <v>421</v>
      </c>
    </row>
    <row r="48" spans="1:11" ht="12.75">
      <c r="A48" s="156" t="s">
        <v>427</v>
      </c>
      <c r="B48" s="177">
        <f>(('User-Based'!E5+'User-Based'!D5/3+'User-Based'!C5/30)*$H47)*$J48/0.33</f>
        <v>0</v>
      </c>
      <c r="C48" s="113" t="s">
        <v>432</v>
      </c>
      <c r="D48" s="113" t="s">
        <v>428</v>
      </c>
      <c r="E48" s="178">
        <f>11.05*('User-Based'!E5+'User-Based'!D5/3+'User-Based'!C5/30)</f>
        <v>0</v>
      </c>
      <c r="F48" s="113" t="s">
        <v>425</v>
      </c>
      <c r="G48" s="113"/>
      <c r="H48" s="113"/>
      <c r="I48" s="113"/>
      <c r="J48" s="175">
        <v>0.41</v>
      </c>
      <c r="K48" s="176" t="s">
        <v>426</v>
      </c>
    </row>
    <row r="49" spans="1:11" ht="12.75">
      <c r="A49" s="156" t="s">
        <v>430</v>
      </c>
      <c r="B49" s="177">
        <f>(('User-Based'!E5+'User-Based'!D5/3+'User-Based'!C5/30)*$H47)*$J49/0.33</f>
        <v>0</v>
      </c>
      <c r="C49" s="113" t="s">
        <v>432</v>
      </c>
      <c r="D49" s="113" t="s">
        <v>431</v>
      </c>
      <c r="E49" s="178">
        <v>0</v>
      </c>
      <c r="F49" s="113" t="s">
        <v>425</v>
      </c>
      <c r="G49" s="113"/>
      <c r="H49" s="113"/>
      <c r="I49" s="113"/>
      <c r="J49" s="175">
        <v>0.39</v>
      </c>
      <c r="K49" s="176" t="s">
        <v>429</v>
      </c>
    </row>
    <row r="50" spans="1:11" ht="12.75">
      <c r="A50" s="156"/>
      <c r="B50" s="177"/>
      <c r="C50" s="113"/>
      <c r="D50" s="113"/>
      <c r="E50" s="178"/>
      <c r="F50" s="113"/>
      <c r="G50" s="113"/>
      <c r="H50" s="113"/>
      <c r="I50" s="113"/>
      <c r="J50" s="175"/>
      <c r="K50" s="176"/>
    </row>
    <row r="51" spans="1:11" ht="21.75" customHeight="1">
      <c r="A51" s="267" t="s">
        <v>437</v>
      </c>
      <c r="B51" s="268"/>
      <c r="C51" s="268"/>
      <c r="D51" s="268"/>
      <c r="E51" s="268"/>
      <c r="F51" s="268"/>
      <c r="G51" s="268"/>
      <c r="H51" s="268"/>
      <c r="I51" s="268"/>
      <c r="J51" s="268"/>
      <c r="K51" s="269"/>
    </row>
    <row r="52" spans="1:11" ht="12.75">
      <c r="A52" s="180"/>
      <c r="B52" s="181"/>
      <c r="C52" s="182"/>
      <c r="D52" s="182"/>
      <c r="E52" s="182"/>
      <c r="F52" s="182"/>
      <c r="G52" s="182"/>
      <c r="H52" s="182"/>
      <c r="I52" s="182"/>
      <c r="J52" s="182"/>
      <c r="K52" s="184"/>
    </row>
    <row r="53" spans="1:11" ht="12.75">
      <c r="A53" s="180" t="s">
        <v>422</v>
      </c>
      <c r="B53" s="185">
        <f>Workload!C20</f>
        <v>0</v>
      </c>
      <c r="C53" s="182" t="s">
        <v>497</v>
      </c>
      <c r="D53" s="182" t="s">
        <v>424</v>
      </c>
      <c r="E53" s="185">
        <f>500+Workload!C29</f>
        <v>500</v>
      </c>
      <c r="F53" s="186" t="s">
        <v>425</v>
      </c>
      <c r="G53" s="182"/>
      <c r="H53" s="182"/>
      <c r="I53" s="182"/>
      <c r="J53" s="182"/>
      <c r="K53" s="184"/>
    </row>
    <row r="54" spans="1:11" ht="12.75">
      <c r="A54" s="180" t="s">
        <v>427</v>
      </c>
      <c r="B54" s="185">
        <f>Workload!C21</f>
        <v>0</v>
      </c>
      <c r="C54" s="182" t="s">
        <v>498</v>
      </c>
      <c r="D54" s="182" t="s">
        <v>428</v>
      </c>
      <c r="E54" s="185">
        <f>715+Workload!C30</f>
        <v>715</v>
      </c>
      <c r="F54" s="186" t="s">
        <v>425</v>
      </c>
      <c r="G54" s="182"/>
      <c r="H54" s="182"/>
      <c r="I54" s="182"/>
      <c r="J54" s="182"/>
      <c r="K54" s="184"/>
    </row>
    <row r="55" spans="1:11" ht="12.75">
      <c r="A55" s="180" t="s">
        <v>430</v>
      </c>
      <c r="B55" s="185">
        <f>Workload!C22</f>
        <v>0</v>
      </c>
      <c r="C55" s="182" t="s">
        <v>498</v>
      </c>
      <c r="D55" s="182" t="s">
        <v>431</v>
      </c>
      <c r="E55" s="181">
        <f>'liveCache (Memory)'!H116</f>
        <v>0.16298145055770874</v>
      </c>
      <c r="F55" s="186" t="s">
        <v>418</v>
      </c>
      <c r="G55" s="182"/>
      <c r="H55" s="182"/>
      <c r="I55" s="182"/>
      <c r="J55" s="182"/>
      <c r="K55" s="184"/>
    </row>
    <row r="56" spans="1:11" ht="12.75">
      <c r="A56" s="180" t="s">
        <v>438</v>
      </c>
      <c r="B56" s="185">
        <v>400</v>
      </c>
      <c r="C56" s="182" t="s">
        <v>498</v>
      </c>
      <c r="D56" s="186" t="s">
        <v>439</v>
      </c>
      <c r="E56" s="185">
        <v>1</v>
      </c>
      <c r="F56" s="186" t="s">
        <v>418</v>
      </c>
      <c r="G56" s="182"/>
      <c r="H56" s="182"/>
      <c r="I56" s="182"/>
      <c r="J56" s="182"/>
      <c r="K56" s="184"/>
    </row>
    <row r="57" spans="1:11" ht="12.75">
      <c r="A57" s="187" t="s">
        <v>440</v>
      </c>
      <c r="B57" s="181">
        <f>20+B3</f>
        <v>20</v>
      </c>
      <c r="C57" s="182" t="s">
        <v>418</v>
      </c>
      <c r="D57" s="186"/>
      <c r="E57" s="186"/>
      <c r="F57" s="186"/>
      <c r="G57" s="186"/>
      <c r="H57" s="186"/>
      <c r="I57" s="186"/>
      <c r="J57" s="186"/>
      <c r="K57" s="188"/>
    </row>
    <row r="58" spans="1:11" ht="12.75">
      <c r="A58" s="187" t="s">
        <v>441</v>
      </c>
      <c r="B58" s="181">
        <f>'liveCache (Memory)'!H105*3+3</f>
        <v>3</v>
      </c>
      <c r="C58" s="186" t="s">
        <v>418</v>
      </c>
      <c r="D58" s="186"/>
      <c r="E58" s="186"/>
      <c r="F58" s="186"/>
      <c r="G58" s="186"/>
      <c r="H58" s="186"/>
      <c r="I58" s="186"/>
      <c r="J58" s="186"/>
      <c r="K58" s="188"/>
    </row>
    <row r="59" spans="1:11" ht="12.75">
      <c r="A59" s="189"/>
      <c r="B59" s="190"/>
      <c r="C59" s="190"/>
      <c r="D59" s="190"/>
      <c r="E59" s="190"/>
      <c r="F59" s="190"/>
      <c r="G59" s="190"/>
      <c r="H59" s="190"/>
      <c r="I59" s="190"/>
      <c r="J59" s="190"/>
      <c r="K59" s="191"/>
    </row>
    <row r="60" spans="1:11" ht="25.5" customHeight="1">
      <c r="A60" s="263" t="s">
        <v>503</v>
      </c>
      <c r="B60" s="103"/>
      <c r="C60" s="123"/>
      <c r="D60" s="123"/>
      <c r="E60" s="123"/>
      <c r="F60" s="123"/>
      <c r="G60" s="123"/>
      <c r="H60" s="123"/>
      <c r="I60" s="123"/>
      <c r="J60" s="123"/>
      <c r="K60" s="214"/>
    </row>
    <row r="61" spans="1:11" ht="12.75">
      <c r="A61" s="156"/>
      <c r="B61" s="113"/>
      <c r="C61" s="113"/>
      <c r="D61" s="113"/>
      <c r="E61" s="113"/>
      <c r="F61" s="113"/>
      <c r="G61" s="113"/>
      <c r="H61" s="113"/>
      <c r="I61" s="113"/>
      <c r="J61" s="113"/>
      <c r="K61" s="153"/>
    </row>
    <row r="62" spans="1:11" ht="12.75">
      <c r="A62" s="249"/>
      <c r="B62" s="113"/>
      <c r="C62" s="113"/>
      <c r="D62" s="113"/>
      <c r="E62" s="113"/>
      <c r="F62" s="113"/>
      <c r="G62" s="113"/>
      <c r="H62" s="113"/>
      <c r="I62" s="113"/>
      <c r="J62" s="113"/>
      <c r="K62" s="153"/>
    </row>
    <row r="63" spans="1:11" ht="12.75">
      <c r="A63" s="156"/>
      <c r="B63" s="113"/>
      <c r="C63" s="113"/>
      <c r="D63" s="113"/>
      <c r="E63" s="113"/>
      <c r="F63" s="113"/>
      <c r="G63" s="113"/>
      <c r="H63" s="113"/>
      <c r="I63" s="113"/>
      <c r="J63" s="113"/>
      <c r="K63" s="153"/>
    </row>
    <row r="64" spans="1:11" ht="12.75">
      <c r="A64" s="156"/>
      <c r="B64" s="113"/>
      <c r="C64" s="113"/>
      <c r="D64" s="113"/>
      <c r="E64" s="113"/>
      <c r="F64" s="113"/>
      <c r="G64" s="113"/>
      <c r="H64" s="113"/>
      <c r="I64" s="113"/>
      <c r="J64" s="113"/>
      <c r="K64" s="153"/>
    </row>
    <row r="65" spans="1:11" ht="12.75">
      <c r="A65" s="156"/>
      <c r="B65" s="113"/>
      <c r="C65" s="113"/>
      <c r="D65" s="113"/>
      <c r="E65" s="113"/>
      <c r="F65" s="113"/>
      <c r="G65" s="113"/>
      <c r="H65" s="113"/>
      <c r="I65" s="113"/>
      <c r="J65" s="113"/>
      <c r="K65" s="153"/>
    </row>
    <row r="66" spans="1:11" ht="12.75">
      <c r="A66" s="156"/>
      <c r="B66" s="113"/>
      <c r="C66" s="113"/>
      <c r="D66" s="113"/>
      <c r="E66" s="113"/>
      <c r="F66" s="113"/>
      <c r="G66" s="113"/>
      <c r="H66" s="113"/>
      <c r="I66" s="113"/>
      <c r="J66" s="113"/>
      <c r="K66" s="153"/>
    </row>
    <row r="67" spans="1:11" ht="12.75">
      <c r="A67" s="156"/>
      <c r="B67" s="113"/>
      <c r="C67" s="113"/>
      <c r="D67" s="113"/>
      <c r="E67" s="113"/>
      <c r="F67" s="113"/>
      <c r="G67" s="113"/>
      <c r="H67" s="113"/>
      <c r="I67" s="113"/>
      <c r="J67" s="113"/>
      <c r="K67" s="153"/>
    </row>
    <row r="68" spans="1:11" ht="12.75">
      <c r="A68" s="249"/>
      <c r="B68" s="113"/>
      <c r="C68" s="113"/>
      <c r="D68" s="113"/>
      <c r="E68" s="113"/>
      <c r="F68" s="113"/>
      <c r="G68" s="113"/>
      <c r="H68" s="113"/>
      <c r="I68" s="113"/>
      <c r="J68" s="113"/>
      <c r="K68" s="153"/>
    </row>
    <row r="69" spans="1:11" ht="12.75">
      <c r="A69" s="156"/>
      <c r="B69" s="113"/>
      <c r="C69" s="113"/>
      <c r="D69" s="113"/>
      <c r="E69" s="113"/>
      <c r="F69" s="113"/>
      <c r="G69" s="113"/>
      <c r="H69" s="113"/>
      <c r="I69" s="113"/>
      <c r="J69" s="113"/>
      <c r="K69" s="153"/>
    </row>
    <row r="70" spans="1:11" ht="12.75">
      <c r="A70" s="156"/>
      <c r="B70" s="113"/>
      <c r="C70" s="113"/>
      <c r="D70" s="113"/>
      <c r="E70" s="113"/>
      <c r="F70" s="113"/>
      <c r="G70" s="113"/>
      <c r="H70" s="113"/>
      <c r="I70" s="113"/>
      <c r="J70" s="113"/>
      <c r="K70" s="153"/>
    </row>
    <row r="71" spans="1:11" ht="12.75">
      <c r="A71" s="156"/>
      <c r="B71" s="113"/>
      <c r="C71" s="113"/>
      <c r="D71" s="113"/>
      <c r="E71" s="113"/>
      <c r="F71" s="113"/>
      <c r="G71" s="113"/>
      <c r="H71" s="113"/>
      <c r="I71" s="113"/>
      <c r="J71" s="113"/>
      <c r="K71" s="153"/>
    </row>
    <row r="72" spans="1:11" ht="12.75">
      <c r="A72" s="156"/>
      <c r="B72" s="113"/>
      <c r="C72" s="113"/>
      <c r="D72" s="113"/>
      <c r="E72" s="113"/>
      <c r="F72" s="113"/>
      <c r="G72" s="113"/>
      <c r="H72" s="113"/>
      <c r="I72" s="113"/>
      <c r="J72" s="113"/>
      <c r="K72" s="153"/>
    </row>
    <row r="73" spans="1:11" ht="12.75">
      <c r="A73" s="156"/>
      <c r="B73" s="113"/>
      <c r="C73" s="113"/>
      <c r="D73" s="113"/>
      <c r="E73" s="113"/>
      <c r="F73" s="113"/>
      <c r="G73" s="113"/>
      <c r="H73" s="113"/>
      <c r="I73" s="113"/>
      <c r="J73" s="113"/>
      <c r="K73" s="153"/>
    </row>
    <row r="74" spans="1:11" ht="12.75">
      <c r="A74" s="156"/>
      <c r="B74" s="113"/>
      <c r="C74" s="113"/>
      <c r="D74" s="113"/>
      <c r="E74" s="113"/>
      <c r="F74" s="113"/>
      <c r="G74" s="113"/>
      <c r="H74" s="113"/>
      <c r="I74" s="113"/>
      <c r="J74" s="113"/>
      <c r="K74" s="153"/>
    </row>
    <row r="75" spans="1:11" ht="12.75">
      <c r="A75" s="156"/>
      <c r="B75" s="113"/>
      <c r="C75" s="113"/>
      <c r="D75" s="113"/>
      <c r="E75" s="113"/>
      <c r="F75" s="113"/>
      <c r="G75" s="113"/>
      <c r="H75" s="113"/>
      <c r="I75" s="113"/>
      <c r="J75" s="113"/>
      <c r="K75" s="153"/>
    </row>
    <row r="76" spans="1:11" ht="12.75">
      <c r="A76" s="156"/>
      <c r="B76" s="113"/>
      <c r="C76" s="113"/>
      <c r="D76" s="113"/>
      <c r="E76" s="113"/>
      <c r="F76" s="113"/>
      <c r="G76" s="113"/>
      <c r="H76" s="113"/>
      <c r="I76" s="113"/>
      <c r="J76" s="113"/>
      <c r="K76" s="153"/>
    </row>
    <row r="77" spans="1:11" ht="12.75">
      <c r="A77" s="156"/>
      <c r="B77" s="113"/>
      <c r="C77" s="113"/>
      <c r="D77" s="113"/>
      <c r="E77" s="113"/>
      <c r="F77" s="113"/>
      <c r="G77" s="113"/>
      <c r="H77" s="113"/>
      <c r="I77" s="113"/>
      <c r="J77" s="113"/>
      <c r="K77" s="153"/>
    </row>
    <row r="78" spans="1:11" ht="12.75">
      <c r="A78" s="156"/>
      <c r="B78" s="113"/>
      <c r="C78" s="113"/>
      <c r="D78" s="113"/>
      <c r="E78" s="113"/>
      <c r="F78" s="113"/>
      <c r="G78" s="113"/>
      <c r="H78" s="113"/>
      <c r="I78" s="113"/>
      <c r="J78" s="113"/>
      <c r="K78" s="153"/>
    </row>
    <row r="79" spans="1:11" ht="12.75">
      <c r="A79" s="156"/>
      <c r="B79" s="113"/>
      <c r="C79" s="113"/>
      <c r="D79" s="113"/>
      <c r="E79" s="113"/>
      <c r="F79" s="113"/>
      <c r="G79" s="113"/>
      <c r="H79" s="113"/>
      <c r="I79" s="113"/>
      <c r="J79" s="113"/>
      <c r="K79" s="153"/>
    </row>
    <row r="80" spans="1:11" ht="12.75">
      <c r="A80" s="156"/>
      <c r="B80" s="113"/>
      <c r="C80" s="113"/>
      <c r="D80" s="113"/>
      <c r="E80" s="113"/>
      <c r="F80" s="113"/>
      <c r="G80" s="113"/>
      <c r="H80" s="113"/>
      <c r="I80" s="113"/>
      <c r="J80" s="113"/>
      <c r="K80" s="153"/>
    </row>
    <row r="81" spans="1:11" ht="12.75">
      <c r="A81" s="156"/>
      <c r="B81" s="113"/>
      <c r="C81" s="113"/>
      <c r="D81" s="113"/>
      <c r="E81" s="113"/>
      <c r="F81" s="113"/>
      <c r="G81" s="113"/>
      <c r="H81" s="113"/>
      <c r="I81" s="113"/>
      <c r="J81" s="113"/>
      <c r="K81" s="153"/>
    </row>
    <row r="82" spans="1:11" ht="12.75">
      <c r="A82" s="156"/>
      <c r="B82" s="113"/>
      <c r="C82" s="113"/>
      <c r="D82" s="113"/>
      <c r="E82" s="113"/>
      <c r="F82" s="113"/>
      <c r="G82" s="113"/>
      <c r="H82" s="113"/>
      <c r="I82" s="113"/>
      <c r="J82" s="113"/>
      <c r="K82" s="153"/>
    </row>
    <row r="83" spans="1:11" ht="12.75">
      <c r="A83" s="156"/>
      <c r="B83" s="113"/>
      <c r="C83" s="113"/>
      <c r="D83" s="113"/>
      <c r="E83" s="113"/>
      <c r="F83" s="113"/>
      <c r="G83" s="113"/>
      <c r="H83" s="113"/>
      <c r="I83" s="113"/>
      <c r="J83" s="113"/>
      <c r="K83" s="153"/>
    </row>
    <row r="84" spans="1:11" ht="12.75">
      <c r="A84" s="156"/>
      <c r="B84" s="113"/>
      <c r="C84" s="113"/>
      <c r="D84" s="113"/>
      <c r="E84" s="113"/>
      <c r="F84" s="113"/>
      <c r="G84" s="113"/>
      <c r="H84" s="113"/>
      <c r="I84" s="113"/>
      <c r="J84" s="113"/>
      <c r="K84" s="153"/>
    </row>
    <row r="85" spans="1:11" ht="12.75">
      <c r="A85" s="156"/>
      <c r="B85" s="113"/>
      <c r="C85" s="113"/>
      <c r="D85" s="113"/>
      <c r="E85" s="113"/>
      <c r="F85" s="113"/>
      <c r="G85" s="113"/>
      <c r="H85" s="113"/>
      <c r="I85" s="113"/>
      <c r="J85" s="113"/>
      <c r="K85" s="153"/>
    </row>
    <row r="86" spans="1:11" ht="12.75">
      <c r="A86" s="156"/>
      <c r="B86" s="113"/>
      <c r="C86" s="113"/>
      <c r="D86" s="113"/>
      <c r="E86" s="113"/>
      <c r="F86" s="113"/>
      <c r="G86" s="113"/>
      <c r="H86" s="113"/>
      <c r="I86" s="113"/>
      <c r="J86" s="113"/>
      <c r="K86" s="153"/>
    </row>
    <row r="87" spans="1:11" ht="12.75">
      <c r="A87" s="156"/>
      <c r="B87" s="113"/>
      <c r="C87" s="113"/>
      <c r="D87" s="113"/>
      <c r="E87" s="113"/>
      <c r="F87" s="113"/>
      <c r="G87" s="113"/>
      <c r="H87" s="113"/>
      <c r="I87" s="113"/>
      <c r="J87" s="113"/>
      <c r="K87" s="153"/>
    </row>
    <row r="88" spans="1:11" ht="12.75">
      <c r="A88" s="156"/>
      <c r="B88" s="113"/>
      <c r="C88" s="113"/>
      <c r="D88" s="113"/>
      <c r="E88" s="113"/>
      <c r="F88" s="113"/>
      <c r="G88" s="113"/>
      <c r="H88" s="113"/>
      <c r="I88" s="113"/>
      <c r="J88" s="113"/>
      <c r="K88" s="153"/>
    </row>
    <row r="89" spans="1:11" ht="12.75">
      <c r="A89" s="262"/>
      <c r="B89" s="151"/>
      <c r="C89" s="151"/>
      <c r="D89" s="151"/>
      <c r="E89" s="151"/>
      <c r="F89" s="151"/>
      <c r="G89" s="151"/>
      <c r="H89" s="151"/>
      <c r="I89" s="151"/>
      <c r="J89" s="151"/>
      <c r="K89" s="154"/>
    </row>
  </sheetData>
  <mergeCells count="5">
    <mergeCell ref="A34:K34"/>
    <mergeCell ref="A51:K51"/>
    <mergeCell ref="A1:K1"/>
    <mergeCell ref="A14:K14"/>
    <mergeCell ref="A20:K20"/>
  </mergeCells>
  <printOptions/>
  <pageMargins left="0.75" right="0.75" top="1" bottom="1" header="0.5" footer="0.5"/>
  <pageSetup horizontalDpi="600" verticalDpi="600" orientation="portrait" paperSize="9" r:id="rId4"/>
  <drawing r:id="rId3"/>
  <legacyDrawing r:id="rId2"/>
</worksheet>
</file>

<file path=xl/worksheets/sheet5.xml><?xml version="1.0" encoding="utf-8"?>
<worksheet xmlns="http://schemas.openxmlformats.org/spreadsheetml/2006/main" xmlns:r="http://schemas.openxmlformats.org/officeDocument/2006/relationships">
  <dimension ref="A1:AC58"/>
  <sheetViews>
    <sheetView workbookViewId="0" topLeftCell="A23">
      <selection activeCell="C30" sqref="C30:D30"/>
    </sheetView>
  </sheetViews>
  <sheetFormatPr defaultColWidth="9.140625" defaultRowHeight="12.75"/>
  <cols>
    <col min="1" max="1" width="11.421875" style="0" customWidth="1"/>
    <col min="2" max="2" width="5.421875" style="0" customWidth="1"/>
    <col min="3" max="3" width="5.140625" style="0" customWidth="1"/>
    <col min="4" max="28" width="6.7109375" style="0" customWidth="1"/>
  </cols>
  <sheetData>
    <row r="1" spans="1:28" ht="20.2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row>
    <row r="2" spans="1:28" ht="29.25" customHeight="1">
      <c r="A2" s="260" t="s">
        <v>499</v>
      </c>
      <c r="B2" s="259"/>
      <c r="C2" s="259"/>
      <c r="D2" s="259"/>
      <c r="E2" s="259"/>
      <c r="F2" s="259"/>
      <c r="G2" s="259"/>
      <c r="H2" s="259"/>
      <c r="I2" s="259"/>
      <c r="J2" s="259"/>
      <c r="K2" s="259"/>
      <c r="L2" s="259"/>
      <c r="M2" s="259"/>
      <c r="N2" s="259"/>
      <c r="O2" s="259"/>
      <c r="P2" s="259"/>
      <c r="Q2" s="259"/>
      <c r="R2" s="259"/>
      <c r="S2" s="259"/>
      <c r="T2" s="259"/>
      <c r="U2" s="259"/>
      <c r="V2" s="259"/>
      <c r="W2" s="259"/>
      <c r="X2" s="259"/>
      <c r="Y2" s="259"/>
      <c r="Z2" s="259"/>
      <c r="AA2" s="259"/>
      <c r="AB2" s="259"/>
    </row>
    <row r="3" spans="1:28" s="238" customFormat="1" ht="12.75">
      <c r="A3" s="247"/>
      <c r="B3" s="255" t="s">
        <v>465</v>
      </c>
      <c r="C3" s="255" t="s">
        <v>466</v>
      </c>
      <c r="D3" s="255" t="s">
        <v>477</v>
      </c>
      <c r="E3" s="251" t="s">
        <v>457</v>
      </c>
      <c r="F3" s="251" t="s">
        <v>342</v>
      </c>
      <c r="G3" s="251" t="s">
        <v>344</v>
      </c>
      <c r="H3" s="251" t="s">
        <v>348</v>
      </c>
      <c r="I3" s="251" t="s">
        <v>350</v>
      </c>
      <c r="J3" s="251" t="s">
        <v>352</v>
      </c>
      <c r="K3" s="251" t="s">
        <v>353</v>
      </c>
      <c r="L3" s="251" t="s">
        <v>355</v>
      </c>
      <c r="M3" s="251" t="s">
        <v>357</v>
      </c>
      <c r="N3" s="251" t="s">
        <v>458</v>
      </c>
      <c r="O3" s="251" t="s">
        <v>459</v>
      </c>
      <c r="P3" s="251" t="s">
        <v>460</v>
      </c>
      <c r="Q3" s="251" t="s">
        <v>365</v>
      </c>
      <c r="R3" s="251" t="s">
        <v>368</v>
      </c>
      <c r="S3" s="251" t="s">
        <v>372</v>
      </c>
      <c r="T3" s="251" t="s">
        <v>461</v>
      </c>
      <c r="U3" s="251" t="s">
        <v>462</v>
      </c>
      <c r="V3" s="251" t="s">
        <v>463</v>
      </c>
      <c r="W3" s="251" t="s">
        <v>391</v>
      </c>
      <c r="X3" s="251" t="s">
        <v>393</v>
      </c>
      <c r="Y3" s="251" t="s">
        <v>396</v>
      </c>
      <c r="Z3" s="251" t="s">
        <v>464</v>
      </c>
      <c r="AA3" s="251" t="s">
        <v>407</v>
      </c>
      <c r="AB3" s="251">
        <v>23</v>
      </c>
    </row>
    <row r="4" spans="1:29" ht="12.75">
      <c r="A4" s="129" t="s">
        <v>258</v>
      </c>
      <c r="B4" s="248">
        <f>VALUE(MID('Quantity-Structured'!D14,1,SEARCH(":",'Quantity-Structured'!D14,1)-1))</f>
        <v>1</v>
      </c>
      <c r="C4" s="248" t="str">
        <f>MID('Quantity-Structured'!D14,SEARCH("-",'Quantity-Structured'!D14,1)+1,SEARCH(":",'Quantity-Structured'!D14,SEARCH("-",'Quantity-Structured'!D14,1))-SEARCH("-",'Quantity-Structured'!D14,1)-1)</f>
        <v>2</v>
      </c>
      <c r="D4" s="248">
        <f aca="true" t="shared" si="0" ref="D4:D9">IF(VALUE($B4)&gt;VALUE($C4),(24-VALUE($B4)+VALUE($C4))*60,(VALUE($C4)-VALUE($B4))*60)</f>
        <v>60</v>
      </c>
      <c r="E4" s="252">
        <f aca="true" t="shared" si="1" ref="E4:AA4">IF(VALUE($B4)&lt;VALUE($C4),IF(AND(VALUE(E3)&gt;=VALUE($B4),VALUE(F3)&lt;=VALUE($C4)),1,0),IF(OR(VALUE(F3)&lt;=VALUE($C4),VALUE($B4)&lt;=VALUE(E3)),1,0))</f>
        <v>0</v>
      </c>
      <c r="F4" s="252">
        <f t="shared" si="1"/>
        <v>1</v>
      </c>
      <c r="G4" s="252">
        <f t="shared" si="1"/>
        <v>0</v>
      </c>
      <c r="H4" s="252">
        <f t="shared" si="1"/>
        <v>0</v>
      </c>
      <c r="I4" s="252">
        <f t="shared" si="1"/>
        <v>0</v>
      </c>
      <c r="J4" s="252">
        <f t="shared" si="1"/>
        <v>0</v>
      </c>
      <c r="K4" s="252">
        <f t="shared" si="1"/>
        <v>0</v>
      </c>
      <c r="L4" s="252">
        <f t="shared" si="1"/>
        <v>0</v>
      </c>
      <c r="M4" s="252">
        <f t="shared" si="1"/>
        <v>0</v>
      </c>
      <c r="N4" s="252">
        <f t="shared" si="1"/>
        <v>0</v>
      </c>
      <c r="O4" s="252">
        <f t="shared" si="1"/>
        <v>0</v>
      </c>
      <c r="P4" s="252">
        <f t="shared" si="1"/>
        <v>0</v>
      </c>
      <c r="Q4" s="252">
        <f t="shared" si="1"/>
        <v>0</v>
      </c>
      <c r="R4" s="252">
        <f t="shared" si="1"/>
        <v>0</v>
      </c>
      <c r="S4" s="252">
        <f t="shared" si="1"/>
        <v>0</v>
      </c>
      <c r="T4" s="252">
        <f t="shared" si="1"/>
        <v>0</v>
      </c>
      <c r="U4" s="252">
        <f t="shared" si="1"/>
        <v>0</v>
      </c>
      <c r="V4" s="252">
        <f t="shared" si="1"/>
        <v>0</v>
      </c>
      <c r="W4" s="252">
        <f t="shared" si="1"/>
        <v>0</v>
      </c>
      <c r="X4" s="252">
        <f t="shared" si="1"/>
        <v>0</v>
      </c>
      <c r="Y4" s="252">
        <f t="shared" si="1"/>
        <v>0</v>
      </c>
      <c r="Z4" s="252">
        <f t="shared" si="1"/>
        <v>0</v>
      </c>
      <c r="AA4" s="252">
        <f t="shared" si="1"/>
        <v>0</v>
      </c>
      <c r="AB4" s="252">
        <f>IF(VALUE($B4)&lt;VALUE($C4),IF(AND(VALUE(AB3)&gt;=VALUE($B4),VALUE(24)&lt;=VALUE($C4)),1,0),IF(OR(VALUE(24)&lt;=VALUE($C4),VALUE($B4)&lt;=VALUE(AB3)),1,0))</f>
        <v>0</v>
      </c>
      <c r="AC4" s="239"/>
    </row>
    <row r="5" spans="1:28" ht="12.75">
      <c r="A5" s="129" t="s">
        <v>451</v>
      </c>
      <c r="B5" s="248">
        <f>VALUE(MID('Quantity-Structured'!D42,1,SEARCH(":",'Quantity-Structured'!D42,1)-1))</f>
        <v>2</v>
      </c>
      <c r="C5" s="248" t="str">
        <f>MID('Quantity-Structured'!D42,SEARCH("-",'Quantity-Structured'!D42,1)+1,SEARCH(":",'Quantity-Structured'!D42,SEARCH("-",'Quantity-Structured'!D42,1))-SEARCH("-",'Quantity-Structured'!D42,1)-1)</f>
        <v>4</v>
      </c>
      <c r="D5" s="248">
        <f t="shared" si="0"/>
        <v>120</v>
      </c>
      <c r="E5" s="252">
        <f aca="true" t="shared" si="2" ref="E5:AA5">IF(VALUE($B5)&lt;VALUE($C5),IF(AND(VALUE(E3)&gt;=VALUE($B5),VALUE(F3)&lt;=VALUE($C5)),1,0),IF(OR(VALUE(F3)&lt;=VALUE($C5),VALUE($B5)&lt;=VALUE(E3)),1,0))</f>
        <v>0</v>
      </c>
      <c r="F5" s="252">
        <f t="shared" si="2"/>
        <v>0</v>
      </c>
      <c r="G5" s="252">
        <f t="shared" si="2"/>
        <v>1</v>
      </c>
      <c r="H5" s="252">
        <f t="shared" si="2"/>
        <v>1</v>
      </c>
      <c r="I5" s="252">
        <f t="shared" si="2"/>
        <v>0</v>
      </c>
      <c r="J5" s="252">
        <f t="shared" si="2"/>
        <v>0</v>
      </c>
      <c r="K5" s="252">
        <f t="shared" si="2"/>
        <v>0</v>
      </c>
      <c r="L5" s="252">
        <f t="shared" si="2"/>
        <v>0</v>
      </c>
      <c r="M5" s="252">
        <f t="shared" si="2"/>
        <v>0</v>
      </c>
      <c r="N5" s="252">
        <f t="shared" si="2"/>
        <v>0</v>
      </c>
      <c r="O5" s="252">
        <f t="shared" si="2"/>
        <v>0</v>
      </c>
      <c r="P5" s="252">
        <f t="shared" si="2"/>
        <v>0</v>
      </c>
      <c r="Q5" s="252">
        <f t="shared" si="2"/>
        <v>0</v>
      </c>
      <c r="R5" s="252">
        <f t="shared" si="2"/>
        <v>0</v>
      </c>
      <c r="S5" s="252">
        <f t="shared" si="2"/>
        <v>0</v>
      </c>
      <c r="T5" s="252">
        <f t="shared" si="2"/>
        <v>0</v>
      </c>
      <c r="U5" s="252">
        <f t="shared" si="2"/>
        <v>0</v>
      </c>
      <c r="V5" s="252">
        <f t="shared" si="2"/>
        <v>0</v>
      </c>
      <c r="W5" s="252">
        <f t="shared" si="2"/>
        <v>0</v>
      </c>
      <c r="X5" s="252">
        <f t="shared" si="2"/>
        <v>0</v>
      </c>
      <c r="Y5" s="252">
        <f t="shared" si="2"/>
        <v>0</v>
      </c>
      <c r="Z5" s="252">
        <f t="shared" si="2"/>
        <v>0</v>
      </c>
      <c r="AA5" s="252">
        <f t="shared" si="2"/>
        <v>0</v>
      </c>
      <c r="AB5" s="252">
        <f>IF(VALUE($B5)&lt;VALUE($C5),IF(AND(VALUE(AB3)&gt;=VALUE($B5),VALUE(24)&lt;=VALUE($C5)),1,0),IF(OR(VALUE(24)&lt;=VALUE($C5),VALUE($B5)&lt;=VALUE(AB3)),1,0))</f>
        <v>0</v>
      </c>
    </row>
    <row r="6" spans="1:28" ht="12.75">
      <c r="A6" s="129" t="s">
        <v>452</v>
      </c>
      <c r="B6" s="248">
        <f>VALUE(MID('User-Based'!F3,1,SEARCH(":",'User-Based'!F3,1)-1))</f>
        <v>8</v>
      </c>
      <c r="C6" s="248" t="str">
        <f>MID('User-Based'!F3,SEARCH("-",'User-Based'!F3,1)+1,SEARCH(":",'User-Based'!F3,SEARCH("-",'User-Based'!F3,1))-SEARCH("-",'User-Based'!F3,1)-1)</f>
        <v>17</v>
      </c>
      <c r="D6" s="248">
        <f t="shared" si="0"/>
        <v>540</v>
      </c>
      <c r="E6" s="252">
        <f>IF(VALUE($B6)&lt;VALUE($C6),IF(AND(VALUE(E3)&gt;=VALUE($B6),VALUE(F3)&lt;=VALUE($C6)),1,0),IF(OR(VALUE(F3)&lt;=VALUE($C6),VALUE($B6)&lt;=VALUE(E3)),1,0))</f>
        <v>0</v>
      </c>
      <c r="F6" s="252">
        <f>IF(VALUE($B6)&lt;VALUE($C6),IF(AND(VALUE(F3)&gt;=VALUE($B6),VALUE(G3)&lt;=VALUE($C6)),1,0),IF(OR(VALUE(G3)&lt;=VALUE($C6),VALUE($B6)&lt;=VALUE(F3)),1,0))</f>
        <v>0</v>
      </c>
      <c r="G6" s="252">
        <f>IF(VALUE($B6)&lt;VALUE($C6),IF(AND(VALUE(G3)&gt;=VALUE($B6),VALUE(H3)&lt;=VALUE($C6)),1,0),IF(OR(VALUE(H3)&lt;=VALUE($C6),VALUE($B6)&lt;=VALUE(G3)),1,0))</f>
        <v>0</v>
      </c>
      <c r="H6" s="252">
        <f aca="true" t="shared" si="3" ref="H6:AA6">IF(VALUE($B6)&lt;VALUE($C6),IF(AND(VALUE(H3)&gt;=VALUE($B6),VALUE(I3)&lt;=VALUE($C6)),1,0),IF(OR(VALUE(I3)&lt;=VALUE($C6),VALUE($B6)&lt;=VALUE(H3)),1,0))</f>
        <v>0</v>
      </c>
      <c r="I6" s="252">
        <f t="shared" si="3"/>
        <v>0</v>
      </c>
      <c r="J6" s="252">
        <f t="shared" si="3"/>
        <v>0</v>
      </c>
      <c r="K6" s="252">
        <f t="shared" si="3"/>
        <v>0</v>
      </c>
      <c r="L6" s="252">
        <f t="shared" si="3"/>
        <v>0</v>
      </c>
      <c r="M6" s="252">
        <f t="shared" si="3"/>
        <v>1</v>
      </c>
      <c r="N6" s="252">
        <f t="shared" si="3"/>
        <v>1</v>
      </c>
      <c r="O6" s="252">
        <f t="shared" si="3"/>
        <v>1</v>
      </c>
      <c r="P6" s="252">
        <f t="shared" si="3"/>
        <v>1</v>
      </c>
      <c r="Q6" s="252">
        <f t="shared" si="3"/>
        <v>1</v>
      </c>
      <c r="R6" s="252">
        <f t="shared" si="3"/>
        <v>1</v>
      </c>
      <c r="S6" s="252">
        <f t="shared" si="3"/>
        <v>1</v>
      </c>
      <c r="T6" s="252">
        <f t="shared" si="3"/>
        <v>1</v>
      </c>
      <c r="U6" s="252">
        <f t="shared" si="3"/>
        <v>1</v>
      </c>
      <c r="V6" s="252">
        <f t="shared" si="3"/>
        <v>0</v>
      </c>
      <c r="W6" s="252">
        <f t="shared" si="3"/>
        <v>0</v>
      </c>
      <c r="X6" s="252">
        <f t="shared" si="3"/>
        <v>0</v>
      </c>
      <c r="Y6" s="252">
        <f t="shared" si="3"/>
        <v>0</v>
      </c>
      <c r="Z6" s="252">
        <f t="shared" si="3"/>
        <v>0</v>
      </c>
      <c r="AA6" s="252">
        <f t="shared" si="3"/>
        <v>0</v>
      </c>
      <c r="AB6" s="252">
        <f>IF(VALUE($B6)&lt;VALUE($C6),IF(AND(VALUE(AB3)&gt;=VALUE($B6),VALUE(24)&lt;=VALUE($C6)),1,0),IF(OR(VALUE(24)&lt;=VALUE($C6),VALUE($B6)&lt;=VALUE(AB3)),1,0))</f>
        <v>0</v>
      </c>
    </row>
    <row r="7" spans="1:28" ht="12.75">
      <c r="A7" s="129" t="s">
        <v>453</v>
      </c>
      <c r="B7" s="248">
        <f>VALUE(MID('User-Based'!F4,1,SEARCH(":",'User-Based'!F4,1)-1))</f>
        <v>9</v>
      </c>
      <c r="C7" s="248" t="str">
        <f>MID('User-Based'!F4,SEARCH("-",'User-Based'!F4,1)+1,SEARCH(":",'User-Based'!F4,SEARCH("-",'User-Based'!F4,1))-SEARCH("-",'User-Based'!F4,1)-1)</f>
        <v>16</v>
      </c>
      <c r="D7" s="248">
        <f t="shared" si="0"/>
        <v>420</v>
      </c>
      <c r="E7" s="252">
        <f>IF(VALUE($B7)&lt;VALUE($C7),IF(AND(VALUE(E3)&gt;=VALUE($B7),VALUE(F3)&lt;=VALUE($C7)),1,0),IF(OR(VALUE(F3)&lt;=VALUE($C7),VALUE($B7)&lt;=VALUE(E3)),1,0))</f>
        <v>0</v>
      </c>
      <c r="F7" s="252">
        <f aca="true" t="shared" si="4" ref="F7:AA7">IF(VALUE($B7)&lt;VALUE($C7),IF(AND(VALUE(F3)&gt;=VALUE($B7),VALUE(G3)&lt;=VALUE($C7)),1,0),IF(OR(VALUE(G3)&lt;=VALUE($C7),VALUE($B7)&lt;=VALUE(F3)),1,0))</f>
        <v>0</v>
      </c>
      <c r="G7" s="252">
        <f t="shared" si="4"/>
        <v>0</v>
      </c>
      <c r="H7" s="252">
        <f t="shared" si="4"/>
        <v>0</v>
      </c>
      <c r="I7" s="252">
        <f t="shared" si="4"/>
        <v>0</v>
      </c>
      <c r="J7" s="252">
        <f t="shared" si="4"/>
        <v>0</v>
      </c>
      <c r="K7" s="252">
        <f t="shared" si="4"/>
        <v>0</v>
      </c>
      <c r="L7" s="252">
        <f t="shared" si="4"/>
        <v>0</v>
      </c>
      <c r="M7" s="252">
        <f t="shared" si="4"/>
        <v>0</v>
      </c>
      <c r="N7" s="252">
        <f t="shared" si="4"/>
        <v>1</v>
      </c>
      <c r="O7" s="252">
        <f t="shared" si="4"/>
        <v>1</v>
      </c>
      <c r="P7" s="252">
        <f t="shared" si="4"/>
        <v>1</v>
      </c>
      <c r="Q7" s="252">
        <f t="shared" si="4"/>
        <v>1</v>
      </c>
      <c r="R7" s="252">
        <f t="shared" si="4"/>
        <v>1</v>
      </c>
      <c r="S7" s="252">
        <f t="shared" si="4"/>
        <v>1</v>
      </c>
      <c r="T7" s="252">
        <f t="shared" si="4"/>
        <v>1</v>
      </c>
      <c r="U7" s="252">
        <f t="shared" si="4"/>
        <v>0</v>
      </c>
      <c r="V7" s="252">
        <f t="shared" si="4"/>
        <v>0</v>
      </c>
      <c r="W7" s="252">
        <f t="shared" si="4"/>
        <v>0</v>
      </c>
      <c r="X7" s="252">
        <f t="shared" si="4"/>
        <v>0</v>
      </c>
      <c r="Y7" s="252">
        <f t="shared" si="4"/>
        <v>0</v>
      </c>
      <c r="Z7" s="252">
        <f t="shared" si="4"/>
        <v>0</v>
      </c>
      <c r="AA7" s="252">
        <f t="shared" si="4"/>
        <v>0</v>
      </c>
      <c r="AB7" s="252">
        <f>IF(VALUE($B7)&lt;VALUE($C7),IF(AND(VALUE(AB3)&gt;=VALUE($B7),VALUE(24)&lt;=VALUE($C7)),1,0),IF(OR(VALUE(24)&lt;=VALUE($C7),VALUE($B7)&lt;=VALUE(AB3)),1,0))</f>
        <v>0</v>
      </c>
    </row>
    <row r="8" spans="1:28" ht="12.75">
      <c r="A8" s="129" t="s">
        <v>454</v>
      </c>
      <c r="B8" s="248">
        <f>VALUE(MID('User-Based'!F5,1,SEARCH(":",'User-Based'!F5,1)-1))</f>
        <v>10</v>
      </c>
      <c r="C8" s="248" t="str">
        <f>MID('User-Based'!F5,SEARCH("-",'User-Based'!F5,1)+1,SEARCH(":",'User-Based'!F5,SEARCH("-",'User-Based'!F5,1))-SEARCH("-",'User-Based'!F5,1)-1)</f>
        <v>15</v>
      </c>
      <c r="D8" s="248">
        <f t="shared" si="0"/>
        <v>300</v>
      </c>
      <c r="E8" s="252">
        <f>IF(VALUE($B8)&lt;VALUE($C8),IF(AND(VALUE(E3)&gt;=VALUE($B8),VALUE(F3)&lt;=VALUE($C8)),1,0),IF(OR(VALUE(F3)&lt;=VALUE($C8),VALUE($B8)&lt;=VALUE(E3)),1,0))</f>
        <v>0</v>
      </c>
      <c r="F8" s="252">
        <f aca="true" t="shared" si="5" ref="F8:AA8">IF(VALUE($B8)&lt;VALUE($C8),IF(AND(VALUE(F3)&gt;=VALUE($B8),VALUE(G3)&lt;=VALUE($C8)),1,0),IF(OR(VALUE(G3)&lt;=VALUE($C8),VALUE($B8)&lt;=VALUE(F3)),1,0))</f>
        <v>0</v>
      </c>
      <c r="G8" s="252">
        <f t="shared" si="5"/>
        <v>0</v>
      </c>
      <c r="H8" s="252">
        <f t="shared" si="5"/>
        <v>0</v>
      </c>
      <c r="I8" s="252">
        <f t="shared" si="5"/>
        <v>0</v>
      </c>
      <c r="J8" s="252">
        <f t="shared" si="5"/>
        <v>0</v>
      </c>
      <c r="K8" s="252">
        <f t="shared" si="5"/>
        <v>0</v>
      </c>
      <c r="L8" s="252">
        <f t="shared" si="5"/>
        <v>0</v>
      </c>
      <c r="M8" s="252">
        <f t="shared" si="5"/>
        <v>0</v>
      </c>
      <c r="N8" s="252">
        <f t="shared" si="5"/>
        <v>0</v>
      </c>
      <c r="O8" s="252">
        <f t="shared" si="5"/>
        <v>1</v>
      </c>
      <c r="P8" s="252">
        <f t="shared" si="5"/>
        <v>1</v>
      </c>
      <c r="Q8" s="252">
        <f t="shared" si="5"/>
        <v>1</v>
      </c>
      <c r="R8" s="252">
        <f t="shared" si="5"/>
        <v>1</v>
      </c>
      <c r="S8" s="252">
        <f t="shared" si="5"/>
        <v>1</v>
      </c>
      <c r="T8" s="252">
        <f t="shared" si="5"/>
        <v>0</v>
      </c>
      <c r="U8" s="252">
        <f t="shared" si="5"/>
        <v>0</v>
      </c>
      <c r="V8" s="252">
        <f t="shared" si="5"/>
        <v>0</v>
      </c>
      <c r="W8" s="252">
        <f t="shared" si="5"/>
        <v>0</v>
      </c>
      <c r="X8" s="252">
        <f t="shared" si="5"/>
        <v>0</v>
      </c>
      <c r="Y8" s="252">
        <f t="shared" si="5"/>
        <v>0</v>
      </c>
      <c r="Z8" s="252">
        <f t="shared" si="5"/>
        <v>0</v>
      </c>
      <c r="AA8" s="252">
        <f t="shared" si="5"/>
        <v>0</v>
      </c>
      <c r="AB8" s="252">
        <f>IF(VALUE($B8)&lt;VALUE($C8),IF(AND(VALUE(AB3)&gt;=VALUE($B8),VALUE(24)&lt;=VALUE($C8)),1,0),IF(OR(VALUE(24)&lt;=VALUE($C8),VALUE($B8)&lt;=VALUE(AB3)),1,0))</f>
        <v>0</v>
      </c>
    </row>
    <row r="9" spans="1:28" ht="12.75">
      <c r="A9" s="129" t="s">
        <v>455</v>
      </c>
      <c r="B9" s="248">
        <f>VALUE(MID('User-Based'!F6,1,SEARCH(":",'User-Based'!F6,1)-1))</f>
        <v>11</v>
      </c>
      <c r="C9" s="248" t="str">
        <f>MID('User-Based'!F6,SEARCH("-",'User-Based'!F6,1)+1,SEARCH(":",'User-Based'!F6,SEARCH("-",'User-Based'!F6,1))-SEARCH("-",'User-Based'!F6,1)-1)</f>
        <v>14</v>
      </c>
      <c r="D9" s="248">
        <f t="shared" si="0"/>
        <v>180</v>
      </c>
      <c r="E9" s="252">
        <f>IF(VALUE($B9)&lt;VALUE($C9),IF(AND(VALUE(E3)&gt;=VALUE($B9),VALUE(F3)&lt;=VALUE($C9)),1,0),IF(OR(VALUE(F3)&lt;=VALUE($C9),VALUE($B9)&lt;=VALUE(E3)),1,0))</f>
        <v>0</v>
      </c>
      <c r="F9" s="252">
        <f aca="true" t="shared" si="6" ref="F9:AA9">IF(VALUE($B9)&lt;VALUE($C9),IF(AND(VALUE(F3)&gt;=VALUE($B9),VALUE(G3)&lt;=VALUE($C9)),1,0),IF(OR(VALUE(G3)&lt;=VALUE($C9),VALUE($B9)&lt;=VALUE(F3)),1,0))</f>
        <v>0</v>
      </c>
      <c r="G9" s="252">
        <f t="shared" si="6"/>
        <v>0</v>
      </c>
      <c r="H9" s="252">
        <f t="shared" si="6"/>
        <v>0</v>
      </c>
      <c r="I9" s="252">
        <f t="shared" si="6"/>
        <v>0</v>
      </c>
      <c r="J9" s="252">
        <f t="shared" si="6"/>
        <v>0</v>
      </c>
      <c r="K9" s="252">
        <f t="shared" si="6"/>
        <v>0</v>
      </c>
      <c r="L9" s="252">
        <f t="shared" si="6"/>
        <v>0</v>
      </c>
      <c r="M9" s="252">
        <f t="shared" si="6"/>
        <v>0</v>
      </c>
      <c r="N9" s="252">
        <f t="shared" si="6"/>
        <v>0</v>
      </c>
      <c r="O9" s="252">
        <f t="shared" si="6"/>
        <v>0</v>
      </c>
      <c r="P9" s="252">
        <f t="shared" si="6"/>
        <v>1</v>
      </c>
      <c r="Q9" s="252">
        <f t="shared" si="6"/>
        <v>1</v>
      </c>
      <c r="R9" s="252">
        <f t="shared" si="6"/>
        <v>1</v>
      </c>
      <c r="S9" s="252">
        <f t="shared" si="6"/>
        <v>0</v>
      </c>
      <c r="T9" s="252">
        <f t="shared" si="6"/>
        <v>0</v>
      </c>
      <c r="U9" s="252">
        <f t="shared" si="6"/>
        <v>0</v>
      </c>
      <c r="V9" s="252">
        <f t="shared" si="6"/>
        <v>0</v>
      </c>
      <c r="W9" s="252">
        <f t="shared" si="6"/>
        <v>0</v>
      </c>
      <c r="X9" s="252">
        <f t="shared" si="6"/>
        <v>0</v>
      </c>
      <c r="Y9" s="252">
        <f t="shared" si="6"/>
        <v>0</v>
      </c>
      <c r="Z9" s="252">
        <f t="shared" si="6"/>
        <v>0</v>
      </c>
      <c r="AA9" s="252">
        <f t="shared" si="6"/>
        <v>0</v>
      </c>
      <c r="AB9" s="252">
        <f>IF(VALUE($B9)&lt;VALUE($C9),IF(AND(VALUE(AB3)&gt;=VALUE($B9),VALUE(24)&lt;=VALUE($C9)),1,0),IF(OR(VALUE(24)&lt;=VALUE($C9),VALUE($B9)&lt;=VALUE(AB3)),1,0))</f>
        <v>0</v>
      </c>
    </row>
    <row r="10" spans="1:28" ht="12.75">
      <c r="A10" s="129"/>
      <c r="B10" s="248"/>
      <c r="C10" s="248"/>
      <c r="D10" s="248"/>
      <c r="E10" s="252"/>
      <c r="F10" s="252"/>
      <c r="G10" s="252"/>
      <c r="H10" s="252"/>
      <c r="I10" s="252"/>
      <c r="J10" s="252"/>
      <c r="K10" s="252"/>
      <c r="L10" s="252"/>
      <c r="M10" s="252"/>
      <c r="N10" s="252"/>
      <c r="O10" s="252"/>
      <c r="P10" s="252"/>
      <c r="Q10" s="252"/>
      <c r="R10" s="252"/>
      <c r="S10" s="252"/>
      <c r="T10" s="252"/>
      <c r="U10" s="252"/>
      <c r="V10" s="252"/>
      <c r="W10" s="252"/>
      <c r="X10" s="252"/>
      <c r="Y10" s="252"/>
      <c r="Z10" s="252"/>
      <c r="AA10" s="252"/>
      <c r="AB10" s="252"/>
    </row>
    <row r="11" spans="1:28" ht="12.75">
      <c r="A11" s="245"/>
      <c r="B11" s="248"/>
      <c r="C11" s="257" t="s">
        <v>482</v>
      </c>
      <c r="D11" s="254"/>
      <c r="E11" s="251" t="s">
        <v>457</v>
      </c>
      <c r="F11" s="251" t="s">
        <v>342</v>
      </c>
      <c r="G11" s="251" t="s">
        <v>344</v>
      </c>
      <c r="H11" s="251" t="s">
        <v>348</v>
      </c>
      <c r="I11" s="251" t="s">
        <v>350</v>
      </c>
      <c r="J11" s="251" t="s">
        <v>352</v>
      </c>
      <c r="K11" s="251" t="s">
        <v>353</v>
      </c>
      <c r="L11" s="251" t="s">
        <v>355</v>
      </c>
      <c r="M11" s="251" t="s">
        <v>357</v>
      </c>
      <c r="N11" s="251" t="s">
        <v>458</v>
      </c>
      <c r="O11" s="251" t="s">
        <v>459</v>
      </c>
      <c r="P11" s="251" t="s">
        <v>460</v>
      </c>
      <c r="Q11" s="251" t="s">
        <v>365</v>
      </c>
      <c r="R11" s="251" t="s">
        <v>368</v>
      </c>
      <c r="S11" s="251" t="s">
        <v>372</v>
      </c>
      <c r="T11" s="251" t="s">
        <v>461</v>
      </c>
      <c r="U11" s="251" t="s">
        <v>462</v>
      </c>
      <c r="V11" s="251" t="s">
        <v>463</v>
      </c>
      <c r="W11" s="251" t="s">
        <v>391</v>
      </c>
      <c r="X11" s="251" t="s">
        <v>393</v>
      </c>
      <c r="Y11" s="251" t="s">
        <v>396</v>
      </c>
      <c r="Z11" s="251" t="s">
        <v>464</v>
      </c>
      <c r="AA11" s="251" t="s">
        <v>407</v>
      </c>
      <c r="AB11" s="251">
        <v>23</v>
      </c>
    </row>
    <row r="12" spans="1:28" ht="12.75">
      <c r="A12" s="245"/>
      <c r="B12" s="248"/>
      <c r="C12" s="279" t="s">
        <v>258</v>
      </c>
      <c r="D12" s="278"/>
      <c r="E12" s="252">
        <f>E4*('Result (CPU, Memory, Disk)'!$B4+'Result (CPU, Memory, Disk)'!$B5+'Result (CPU, Memory, Disk)'!$B6)</f>
        <v>0</v>
      </c>
      <c r="F12" s="252">
        <f>F4*('Result (CPU, Memory, Disk)'!$B4+'Result (CPU, Memory, Disk)'!$B5+'Result (CPU, Memory, Disk)'!$B6)</f>
        <v>0</v>
      </c>
      <c r="G12" s="252">
        <f>G4*('Result (CPU, Memory, Disk)'!$B4+'Result (CPU, Memory, Disk)'!$B5+'Result (CPU, Memory, Disk)'!$B6)</f>
        <v>0</v>
      </c>
      <c r="H12" s="252">
        <f>H4*('Result (CPU, Memory, Disk)'!$B4+'Result (CPU, Memory, Disk)'!$B5+'Result (CPU, Memory, Disk)'!$B6)</f>
        <v>0</v>
      </c>
      <c r="I12" s="252">
        <f>I4*('Result (CPU, Memory, Disk)'!$B4+'Result (CPU, Memory, Disk)'!$B5+'Result (CPU, Memory, Disk)'!$B6)</f>
        <v>0</v>
      </c>
      <c r="J12" s="252">
        <f>J4*('Result (CPU, Memory, Disk)'!$B4+'Result (CPU, Memory, Disk)'!$B5+'Result (CPU, Memory, Disk)'!$B6)</f>
        <v>0</v>
      </c>
      <c r="K12" s="252">
        <f>K4*('Result (CPU, Memory, Disk)'!$B4+'Result (CPU, Memory, Disk)'!$B5+'Result (CPU, Memory, Disk)'!$B6)</f>
        <v>0</v>
      </c>
      <c r="L12" s="252">
        <f>L4*('Result (CPU, Memory, Disk)'!$B4+'Result (CPU, Memory, Disk)'!$B5+'Result (CPU, Memory, Disk)'!$B6)</f>
        <v>0</v>
      </c>
      <c r="M12" s="252">
        <f>M4*('Result (CPU, Memory, Disk)'!$B4+'Result (CPU, Memory, Disk)'!$B5+'Result (CPU, Memory, Disk)'!$B6)</f>
        <v>0</v>
      </c>
      <c r="N12" s="252">
        <f>N4*('Result (CPU, Memory, Disk)'!$B4+'Result (CPU, Memory, Disk)'!$B5+'Result (CPU, Memory, Disk)'!$B6)</f>
        <v>0</v>
      </c>
      <c r="O12" s="252">
        <f>O4*('Result (CPU, Memory, Disk)'!$B4+'Result (CPU, Memory, Disk)'!$B5+'Result (CPU, Memory, Disk)'!$B6)</f>
        <v>0</v>
      </c>
      <c r="P12" s="252">
        <f>P4*('Result (CPU, Memory, Disk)'!$B4+'Result (CPU, Memory, Disk)'!$B5+'Result (CPU, Memory, Disk)'!$B6)</f>
        <v>0</v>
      </c>
      <c r="Q12" s="252">
        <f>Q4*('Result (CPU, Memory, Disk)'!$B4+'Result (CPU, Memory, Disk)'!$B5+'Result (CPU, Memory, Disk)'!$B6)</f>
        <v>0</v>
      </c>
      <c r="R12" s="252">
        <f>R4*('Result (CPU, Memory, Disk)'!$B4+'Result (CPU, Memory, Disk)'!$B5+'Result (CPU, Memory, Disk)'!$B6)</f>
        <v>0</v>
      </c>
      <c r="S12" s="252">
        <f>S4*('Result (CPU, Memory, Disk)'!$B4+'Result (CPU, Memory, Disk)'!$B5+'Result (CPU, Memory, Disk)'!$B6)</f>
        <v>0</v>
      </c>
      <c r="T12" s="252">
        <f>T4*('Result (CPU, Memory, Disk)'!$B4+'Result (CPU, Memory, Disk)'!$B5+'Result (CPU, Memory, Disk)'!$B6)</f>
        <v>0</v>
      </c>
      <c r="U12" s="252">
        <f>U4*('Result (CPU, Memory, Disk)'!$B4+'Result (CPU, Memory, Disk)'!$B5+'Result (CPU, Memory, Disk)'!$B6)</f>
        <v>0</v>
      </c>
      <c r="V12" s="252">
        <f>V4*('Result (CPU, Memory, Disk)'!$B4+'Result (CPU, Memory, Disk)'!$B5+'Result (CPU, Memory, Disk)'!$B6)</f>
        <v>0</v>
      </c>
      <c r="W12" s="252">
        <f>W4*('Result (CPU, Memory, Disk)'!$B4+'Result (CPU, Memory, Disk)'!$B5+'Result (CPU, Memory, Disk)'!$B6)</f>
        <v>0</v>
      </c>
      <c r="X12" s="252">
        <f>X4*('Result (CPU, Memory, Disk)'!$B4+'Result (CPU, Memory, Disk)'!$B5+'Result (CPU, Memory, Disk)'!$B6)</f>
        <v>0</v>
      </c>
      <c r="Y12" s="252">
        <f>Y4*('Result (CPU, Memory, Disk)'!$B4+'Result (CPU, Memory, Disk)'!$B5+'Result (CPU, Memory, Disk)'!$B6)</f>
        <v>0</v>
      </c>
      <c r="Z12" s="252">
        <f>Z4*('Result (CPU, Memory, Disk)'!$B4+'Result (CPU, Memory, Disk)'!$B5+'Result (CPU, Memory, Disk)'!$B6)</f>
        <v>0</v>
      </c>
      <c r="AA12" s="252">
        <f>AA4*('Result (CPU, Memory, Disk)'!$B4+'Result (CPU, Memory, Disk)'!$B5+'Result (CPU, Memory, Disk)'!$B6)</f>
        <v>0</v>
      </c>
      <c r="AB12" s="252">
        <f>AB4*('Result (CPU, Memory, Disk)'!$B4+'Result (CPU, Memory, Disk)'!$B5+'Result (CPU, Memory, Disk)'!$B6)</f>
        <v>0</v>
      </c>
    </row>
    <row r="13" spans="1:28" ht="12.75">
      <c r="A13" s="245"/>
      <c r="B13" s="248"/>
      <c r="C13" s="279" t="s">
        <v>451</v>
      </c>
      <c r="D13" s="278"/>
      <c r="E13" s="252">
        <f>E5*('Result (CPU, Memory, Disk)'!$B10+'Result (CPU, Memory, Disk)'!$B11+'Result (CPU, Memory, Disk)'!$B12)</f>
        <v>0</v>
      </c>
      <c r="F13" s="252">
        <f>F5*('Result (CPU, Memory, Disk)'!$B10+'Result (CPU, Memory, Disk)'!$B11+'Result (CPU, Memory, Disk)'!$B12)</f>
        <v>0</v>
      </c>
      <c r="G13" s="252">
        <f>G5*('Result (CPU, Memory, Disk)'!$B10+'Result (CPU, Memory, Disk)'!$B11+'Result (CPU, Memory, Disk)'!$B12)</f>
        <v>0</v>
      </c>
      <c r="H13" s="252">
        <f>H5*('Result (CPU, Memory, Disk)'!$B10+'Result (CPU, Memory, Disk)'!$B11+'Result (CPU, Memory, Disk)'!$B12)</f>
        <v>0</v>
      </c>
      <c r="I13" s="252">
        <f>I5*('Result (CPU, Memory, Disk)'!$B10+'Result (CPU, Memory, Disk)'!$B11+'Result (CPU, Memory, Disk)'!$B12)</f>
        <v>0</v>
      </c>
      <c r="J13" s="252">
        <f>J5*('Result (CPU, Memory, Disk)'!$B10+'Result (CPU, Memory, Disk)'!$B11+'Result (CPU, Memory, Disk)'!$B12)</f>
        <v>0</v>
      </c>
      <c r="K13" s="252">
        <f>K5*('Result (CPU, Memory, Disk)'!$B10+'Result (CPU, Memory, Disk)'!$B11+'Result (CPU, Memory, Disk)'!$B12)</f>
        <v>0</v>
      </c>
      <c r="L13" s="252">
        <f>L5*('Result (CPU, Memory, Disk)'!$B10+'Result (CPU, Memory, Disk)'!$B11+'Result (CPU, Memory, Disk)'!$B12)</f>
        <v>0</v>
      </c>
      <c r="M13" s="252">
        <f>M5*('Result (CPU, Memory, Disk)'!$B10+'Result (CPU, Memory, Disk)'!$B11+'Result (CPU, Memory, Disk)'!$B12)</f>
        <v>0</v>
      </c>
      <c r="N13" s="252">
        <f>N5*('Result (CPU, Memory, Disk)'!$B10+'Result (CPU, Memory, Disk)'!$B11+'Result (CPU, Memory, Disk)'!$B12)</f>
        <v>0</v>
      </c>
      <c r="O13" s="252">
        <f>O5*('Result (CPU, Memory, Disk)'!$B10+'Result (CPU, Memory, Disk)'!$B11+'Result (CPU, Memory, Disk)'!$B12)</f>
        <v>0</v>
      </c>
      <c r="P13" s="252">
        <f>P5*('Result (CPU, Memory, Disk)'!$B10+'Result (CPU, Memory, Disk)'!$B11+'Result (CPU, Memory, Disk)'!$B12)</f>
        <v>0</v>
      </c>
      <c r="Q13" s="252">
        <f>Q5*('Result (CPU, Memory, Disk)'!$B10+'Result (CPU, Memory, Disk)'!$B11+'Result (CPU, Memory, Disk)'!$B12)</f>
        <v>0</v>
      </c>
      <c r="R13" s="252">
        <f>R5*('Result (CPU, Memory, Disk)'!$B10+'Result (CPU, Memory, Disk)'!$B11+'Result (CPU, Memory, Disk)'!$B12)</f>
        <v>0</v>
      </c>
      <c r="S13" s="252">
        <f>S5*('Result (CPU, Memory, Disk)'!$B10+'Result (CPU, Memory, Disk)'!$B11+'Result (CPU, Memory, Disk)'!$B12)</f>
        <v>0</v>
      </c>
      <c r="T13" s="252">
        <f>T5*('Result (CPU, Memory, Disk)'!$B10+'Result (CPU, Memory, Disk)'!$B11+'Result (CPU, Memory, Disk)'!$B12)</f>
        <v>0</v>
      </c>
      <c r="U13" s="252">
        <f>U5*('Result (CPU, Memory, Disk)'!$B10+'Result (CPU, Memory, Disk)'!$B11+'Result (CPU, Memory, Disk)'!$B12)</f>
        <v>0</v>
      </c>
      <c r="V13" s="252">
        <f>V5*('Result (CPU, Memory, Disk)'!$B10+'Result (CPU, Memory, Disk)'!$B11+'Result (CPU, Memory, Disk)'!$B12)</f>
        <v>0</v>
      </c>
      <c r="W13" s="252">
        <f>W5*('Result (CPU, Memory, Disk)'!$B10+'Result (CPU, Memory, Disk)'!$B11+'Result (CPU, Memory, Disk)'!$B12)</f>
        <v>0</v>
      </c>
      <c r="X13" s="252">
        <f>X5*('Result (CPU, Memory, Disk)'!$B10+'Result (CPU, Memory, Disk)'!$B11+'Result (CPU, Memory, Disk)'!$B12)</f>
        <v>0</v>
      </c>
      <c r="Y13" s="252">
        <f>Y5*('Result (CPU, Memory, Disk)'!$B10+'Result (CPU, Memory, Disk)'!$B11+'Result (CPU, Memory, Disk)'!$B12)</f>
        <v>0</v>
      </c>
      <c r="Z13" s="252">
        <f>Z5*('Result (CPU, Memory, Disk)'!$B10+'Result (CPU, Memory, Disk)'!$B11+'Result (CPU, Memory, Disk)'!$B12)</f>
        <v>0</v>
      </c>
      <c r="AA13" s="252">
        <f>AA5*('Result (CPU, Memory, Disk)'!$B10+'Result (CPU, Memory, Disk)'!$B11+'Result (CPU, Memory, Disk)'!$B12)</f>
        <v>0</v>
      </c>
      <c r="AB13" s="252">
        <f>AB5*('Result (CPU, Memory, Disk)'!$B10+'Result (CPU, Memory, Disk)'!$B11+'Result (CPU, Memory, Disk)'!$B12)</f>
        <v>0</v>
      </c>
    </row>
    <row r="14" spans="1:28" ht="12.75">
      <c r="A14" s="245"/>
      <c r="B14" s="248"/>
      <c r="C14" s="279" t="s">
        <v>452</v>
      </c>
      <c r="D14" s="278"/>
      <c r="E14" s="252">
        <f>E6*('Result (CPU, Memory, Disk)'!$B37+'Result (CPU, Memory, Disk)'!$B38+'Result (CPU, Memory, Disk)'!$B39)</f>
        <v>0</v>
      </c>
      <c r="F14" s="252">
        <f>F6*('Result (CPU, Memory, Disk)'!$B37+'Result (CPU, Memory, Disk)'!$B38+'Result (CPU, Memory, Disk)'!$B39)</f>
        <v>0</v>
      </c>
      <c r="G14" s="252">
        <f>G6*('Result (CPU, Memory, Disk)'!$B37+'Result (CPU, Memory, Disk)'!$B38+'Result (CPU, Memory, Disk)'!$B39)</f>
        <v>0</v>
      </c>
      <c r="H14" s="252">
        <f>H6*('Result (CPU, Memory, Disk)'!$B37+'Result (CPU, Memory, Disk)'!$B38+'Result (CPU, Memory, Disk)'!$B39)</f>
        <v>0</v>
      </c>
      <c r="I14" s="252">
        <f>I6*('Result (CPU, Memory, Disk)'!$B37+'Result (CPU, Memory, Disk)'!$B38+'Result (CPU, Memory, Disk)'!$B39)</f>
        <v>0</v>
      </c>
      <c r="J14" s="252">
        <f>J6*('Result (CPU, Memory, Disk)'!$B37+'Result (CPU, Memory, Disk)'!$B38+'Result (CPU, Memory, Disk)'!$B39)</f>
        <v>0</v>
      </c>
      <c r="K14" s="252">
        <f>K6*('Result (CPU, Memory, Disk)'!$B37+'Result (CPU, Memory, Disk)'!$B38+'Result (CPU, Memory, Disk)'!$B39)</f>
        <v>0</v>
      </c>
      <c r="L14" s="252">
        <f>L6*('Result (CPU, Memory, Disk)'!$B37+'Result (CPU, Memory, Disk)'!$B38+'Result (CPU, Memory, Disk)'!$B39)</f>
        <v>0</v>
      </c>
      <c r="M14" s="252">
        <f>M6*('Result (CPU, Memory, Disk)'!$B37+'Result (CPU, Memory, Disk)'!$B38+'Result (CPU, Memory, Disk)'!$B39)</f>
        <v>0</v>
      </c>
      <c r="N14" s="252">
        <f>N6*('Result (CPU, Memory, Disk)'!$B37+'Result (CPU, Memory, Disk)'!$B38+'Result (CPU, Memory, Disk)'!$B39)</f>
        <v>0</v>
      </c>
      <c r="O14" s="252">
        <f>O6*('Result (CPU, Memory, Disk)'!$B37+'Result (CPU, Memory, Disk)'!$B38+'Result (CPU, Memory, Disk)'!$B39)</f>
        <v>0</v>
      </c>
      <c r="P14" s="252">
        <f>P6*('Result (CPU, Memory, Disk)'!$B37+'Result (CPU, Memory, Disk)'!$B38+'Result (CPU, Memory, Disk)'!$B39)</f>
        <v>0</v>
      </c>
      <c r="Q14" s="252">
        <f>Q6*('Result (CPU, Memory, Disk)'!$B37+'Result (CPU, Memory, Disk)'!$B38+'Result (CPU, Memory, Disk)'!$B39)</f>
        <v>0</v>
      </c>
      <c r="R14" s="252">
        <f>R6*('Result (CPU, Memory, Disk)'!$B37+'Result (CPU, Memory, Disk)'!$B38+'Result (CPU, Memory, Disk)'!$B39)</f>
        <v>0</v>
      </c>
      <c r="S14" s="252">
        <f>S6*('Result (CPU, Memory, Disk)'!$B37+'Result (CPU, Memory, Disk)'!$B38+'Result (CPU, Memory, Disk)'!$B39)</f>
        <v>0</v>
      </c>
      <c r="T14" s="252">
        <f>T6*('Result (CPU, Memory, Disk)'!$B37+'Result (CPU, Memory, Disk)'!$B38+'Result (CPU, Memory, Disk)'!$B39)</f>
        <v>0</v>
      </c>
      <c r="U14" s="252">
        <f>U6*('Result (CPU, Memory, Disk)'!$B37+'Result (CPU, Memory, Disk)'!$B38+'Result (CPU, Memory, Disk)'!$B39)</f>
        <v>0</v>
      </c>
      <c r="V14" s="252">
        <f>V6*('Result (CPU, Memory, Disk)'!$B37+'Result (CPU, Memory, Disk)'!$B38+'Result (CPU, Memory, Disk)'!$B39)</f>
        <v>0</v>
      </c>
      <c r="W14" s="252">
        <f>W6*('Result (CPU, Memory, Disk)'!$B37+'Result (CPU, Memory, Disk)'!$B38+'Result (CPU, Memory, Disk)'!$B39)</f>
        <v>0</v>
      </c>
      <c r="X14" s="252">
        <f>X6*('Result (CPU, Memory, Disk)'!$B37+'Result (CPU, Memory, Disk)'!$B38+'Result (CPU, Memory, Disk)'!$B39)</f>
        <v>0</v>
      </c>
      <c r="Y14" s="252">
        <f>Y6*('Result (CPU, Memory, Disk)'!$B37+'Result (CPU, Memory, Disk)'!$B38+'Result (CPU, Memory, Disk)'!$B39)</f>
        <v>0</v>
      </c>
      <c r="Z14" s="252">
        <f>Z6*('Result (CPU, Memory, Disk)'!$B37+'Result (CPU, Memory, Disk)'!$B38+'Result (CPU, Memory, Disk)'!$B39)</f>
        <v>0</v>
      </c>
      <c r="AA14" s="252">
        <f>AA6*('Result (CPU, Memory, Disk)'!$B37+'Result (CPU, Memory, Disk)'!$B38+'Result (CPU, Memory, Disk)'!$B39)</f>
        <v>0</v>
      </c>
      <c r="AB14" s="252">
        <f>AB6*('Result (CPU, Memory, Disk)'!$B37+'Result (CPU, Memory, Disk)'!$B38+'Result (CPU, Memory, Disk)'!$B39)</f>
        <v>0</v>
      </c>
    </row>
    <row r="15" spans="1:28" ht="12.75">
      <c r="A15" s="245"/>
      <c r="B15" s="248"/>
      <c r="C15" s="279" t="s">
        <v>453</v>
      </c>
      <c r="D15" s="278"/>
      <c r="E15" s="252">
        <f>E7*('Result (CPU, Memory, Disk)'!$B42+'Result (CPU, Memory, Disk)'!$B43+'Result (CPU, Memory, Disk)'!$B44)</f>
        <v>0</v>
      </c>
      <c r="F15" s="252">
        <f>F7*('Result (CPU, Memory, Disk)'!$B42+'Result (CPU, Memory, Disk)'!$B43+'Result (CPU, Memory, Disk)'!$B44)</f>
        <v>0</v>
      </c>
      <c r="G15" s="252">
        <f>G7*('Result (CPU, Memory, Disk)'!$B42+'Result (CPU, Memory, Disk)'!$B43+'Result (CPU, Memory, Disk)'!$B44)</f>
        <v>0</v>
      </c>
      <c r="H15" s="252">
        <f>H7*('Result (CPU, Memory, Disk)'!$B42+'Result (CPU, Memory, Disk)'!$B43+'Result (CPU, Memory, Disk)'!$B44)</f>
        <v>0</v>
      </c>
      <c r="I15" s="252">
        <f>I7*('Result (CPU, Memory, Disk)'!$B42+'Result (CPU, Memory, Disk)'!$B43+'Result (CPU, Memory, Disk)'!$B44)</f>
        <v>0</v>
      </c>
      <c r="J15" s="252">
        <f>J7*('Result (CPU, Memory, Disk)'!$B42+'Result (CPU, Memory, Disk)'!$B43+'Result (CPU, Memory, Disk)'!$B44)</f>
        <v>0</v>
      </c>
      <c r="K15" s="252">
        <f>K7*('Result (CPU, Memory, Disk)'!$B42+'Result (CPU, Memory, Disk)'!$B43+'Result (CPU, Memory, Disk)'!$B44)</f>
        <v>0</v>
      </c>
      <c r="L15" s="252">
        <f>L7*('Result (CPU, Memory, Disk)'!$B42+'Result (CPU, Memory, Disk)'!$B43+'Result (CPU, Memory, Disk)'!$B44)</f>
        <v>0</v>
      </c>
      <c r="M15" s="252">
        <f>M7*('Result (CPU, Memory, Disk)'!$B42+'Result (CPU, Memory, Disk)'!$B43+'Result (CPU, Memory, Disk)'!$B44)</f>
        <v>0</v>
      </c>
      <c r="N15" s="252">
        <f>N7*('Result (CPU, Memory, Disk)'!$B42+'Result (CPU, Memory, Disk)'!$B43+'Result (CPU, Memory, Disk)'!$B44)</f>
        <v>0</v>
      </c>
      <c r="O15" s="252">
        <f>O7*('Result (CPU, Memory, Disk)'!$B42+'Result (CPU, Memory, Disk)'!$B43+'Result (CPU, Memory, Disk)'!$B44)</f>
        <v>0</v>
      </c>
      <c r="P15" s="252">
        <f>P7*('Result (CPU, Memory, Disk)'!$B42+'Result (CPU, Memory, Disk)'!$B43+'Result (CPU, Memory, Disk)'!$B44)</f>
        <v>0</v>
      </c>
      <c r="Q15" s="252">
        <f>Q7*('Result (CPU, Memory, Disk)'!$B42+'Result (CPU, Memory, Disk)'!$B43+'Result (CPU, Memory, Disk)'!$B44)</f>
        <v>0</v>
      </c>
      <c r="R15" s="252">
        <f>R7*('Result (CPU, Memory, Disk)'!$B42+'Result (CPU, Memory, Disk)'!$B43+'Result (CPU, Memory, Disk)'!$B44)</f>
        <v>0</v>
      </c>
      <c r="S15" s="252">
        <f>S7*('Result (CPU, Memory, Disk)'!$B42+'Result (CPU, Memory, Disk)'!$B43+'Result (CPU, Memory, Disk)'!$B44)</f>
        <v>0</v>
      </c>
      <c r="T15" s="252">
        <f>T7*('Result (CPU, Memory, Disk)'!$B42+'Result (CPU, Memory, Disk)'!$B43+'Result (CPU, Memory, Disk)'!$B44)</f>
        <v>0</v>
      </c>
      <c r="U15" s="252">
        <f>U7*('Result (CPU, Memory, Disk)'!$B42+'Result (CPU, Memory, Disk)'!$B43+'Result (CPU, Memory, Disk)'!$B44)</f>
        <v>0</v>
      </c>
      <c r="V15" s="252">
        <f>V7*('Result (CPU, Memory, Disk)'!$B42+'Result (CPU, Memory, Disk)'!$B43+'Result (CPU, Memory, Disk)'!$B44)</f>
        <v>0</v>
      </c>
      <c r="W15" s="252">
        <f>W7*('Result (CPU, Memory, Disk)'!$B42+'Result (CPU, Memory, Disk)'!$B43+'Result (CPU, Memory, Disk)'!$B44)</f>
        <v>0</v>
      </c>
      <c r="X15" s="252">
        <f>X7*('Result (CPU, Memory, Disk)'!$B42+'Result (CPU, Memory, Disk)'!$B43+'Result (CPU, Memory, Disk)'!$B44)</f>
        <v>0</v>
      </c>
      <c r="Y15" s="252">
        <f>Y7*('Result (CPU, Memory, Disk)'!$B42+'Result (CPU, Memory, Disk)'!$B43+'Result (CPU, Memory, Disk)'!$B44)</f>
        <v>0</v>
      </c>
      <c r="Z15" s="252">
        <f>Z7*('Result (CPU, Memory, Disk)'!$B42+'Result (CPU, Memory, Disk)'!$B43+'Result (CPU, Memory, Disk)'!$B44)</f>
        <v>0</v>
      </c>
      <c r="AA15" s="252">
        <f>AA7*('Result (CPU, Memory, Disk)'!$B42+'Result (CPU, Memory, Disk)'!$B43+'Result (CPU, Memory, Disk)'!$B44)</f>
        <v>0</v>
      </c>
      <c r="AB15" s="252">
        <f>AB7*('Result (CPU, Memory, Disk)'!$B42+'Result (CPU, Memory, Disk)'!$B43+'Result (CPU, Memory, Disk)'!$B44)</f>
        <v>0</v>
      </c>
    </row>
    <row r="16" spans="1:28" ht="12.75">
      <c r="A16" s="245"/>
      <c r="B16" s="248"/>
      <c r="C16" s="279" t="s">
        <v>454</v>
      </c>
      <c r="D16" s="278"/>
      <c r="E16" s="252">
        <f>E8*('Result (CPU, Memory, Disk)'!$B47+'Result (CPU, Memory, Disk)'!$B48+'Result (CPU, Memory, Disk)'!$B49)</f>
        <v>0</v>
      </c>
      <c r="F16" s="252">
        <f>F8*('Result (CPU, Memory, Disk)'!$B47+'Result (CPU, Memory, Disk)'!$B48+'Result (CPU, Memory, Disk)'!$B49)</f>
        <v>0</v>
      </c>
      <c r="G16" s="252">
        <f>G8*('Result (CPU, Memory, Disk)'!$B47+'Result (CPU, Memory, Disk)'!$B48+'Result (CPU, Memory, Disk)'!$B49)</f>
        <v>0</v>
      </c>
      <c r="H16" s="252">
        <f>H8*('Result (CPU, Memory, Disk)'!$B47+'Result (CPU, Memory, Disk)'!$B48+'Result (CPU, Memory, Disk)'!$B49)</f>
        <v>0</v>
      </c>
      <c r="I16" s="252">
        <f>I8*('Result (CPU, Memory, Disk)'!$B47+'Result (CPU, Memory, Disk)'!$B48+'Result (CPU, Memory, Disk)'!$B49)</f>
        <v>0</v>
      </c>
      <c r="J16" s="252">
        <f>J8*('Result (CPU, Memory, Disk)'!$B47+'Result (CPU, Memory, Disk)'!$B48+'Result (CPU, Memory, Disk)'!$B49)</f>
        <v>0</v>
      </c>
      <c r="K16" s="252">
        <f>K8*('Result (CPU, Memory, Disk)'!$B47+'Result (CPU, Memory, Disk)'!$B48+'Result (CPU, Memory, Disk)'!$B49)</f>
        <v>0</v>
      </c>
      <c r="L16" s="252">
        <f>L8*('Result (CPU, Memory, Disk)'!$B47+'Result (CPU, Memory, Disk)'!$B48+'Result (CPU, Memory, Disk)'!$B49)</f>
        <v>0</v>
      </c>
      <c r="M16" s="252">
        <f>M8*('Result (CPU, Memory, Disk)'!$B47+'Result (CPU, Memory, Disk)'!$B48+'Result (CPU, Memory, Disk)'!$B49)</f>
        <v>0</v>
      </c>
      <c r="N16" s="252">
        <f>N8*('Result (CPU, Memory, Disk)'!$B47+'Result (CPU, Memory, Disk)'!$B48+'Result (CPU, Memory, Disk)'!$B49)</f>
        <v>0</v>
      </c>
      <c r="O16" s="252">
        <f>O8*('Result (CPU, Memory, Disk)'!$B47+'Result (CPU, Memory, Disk)'!$B48+'Result (CPU, Memory, Disk)'!$B49)</f>
        <v>0</v>
      </c>
      <c r="P16" s="252">
        <f>P8*('Result (CPU, Memory, Disk)'!$B47+'Result (CPU, Memory, Disk)'!$B48+'Result (CPU, Memory, Disk)'!$B49)</f>
        <v>0</v>
      </c>
      <c r="Q16" s="252">
        <f>Q8*('Result (CPU, Memory, Disk)'!$B47+'Result (CPU, Memory, Disk)'!$B48+'Result (CPU, Memory, Disk)'!$B49)</f>
        <v>0</v>
      </c>
      <c r="R16" s="252">
        <f>R8*('Result (CPU, Memory, Disk)'!$B47+'Result (CPU, Memory, Disk)'!$B48+'Result (CPU, Memory, Disk)'!$B49)</f>
        <v>0</v>
      </c>
      <c r="S16" s="252">
        <f>S8*('Result (CPU, Memory, Disk)'!$B47+'Result (CPU, Memory, Disk)'!$B48+'Result (CPU, Memory, Disk)'!$B49)</f>
        <v>0</v>
      </c>
      <c r="T16" s="252">
        <f>T8*('Result (CPU, Memory, Disk)'!$B47+'Result (CPU, Memory, Disk)'!$B48+'Result (CPU, Memory, Disk)'!$B49)</f>
        <v>0</v>
      </c>
      <c r="U16" s="252">
        <f>U8*('Result (CPU, Memory, Disk)'!$B47+'Result (CPU, Memory, Disk)'!$B48+'Result (CPU, Memory, Disk)'!$B49)</f>
        <v>0</v>
      </c>
      <c r="V16" s="252">
        <f>V8*('Result (CPU, Memory, Disk)'!$B47+'Result (CPU, Memory, Disk)'!$B48+'Result (CPU, Memory, Disk)'!$B49)</f>
        <v>0</v>
      </c>
      <c r="W16" s="252">
        <f>W8*('Result (CPU, Memory, Disk)'!$B47+'Result (CPU, Memory, Disk)'!$B48+'Result (CPU, Memory, Disk)'!$B49)</f>
        <v>0</v>
      </c>
      <c r="X16" s="252">
        <f>X8*('Result (CPU, Memory, Disk)'!$B47+'Result (CPU, Memory, Disk)'!$B48+'Result (CPU, Memory, Disk)'!$B49)</f>
        <v>0</v>
      </c>
      <c r="Y16" s="252">
        <f>Y8*('Result (CPU, Memory, Disk)'!$B47+'Result (CPU, Memory, Disk)'!$B48+'Result (CPU, Memory, Disk)'!$B49)</f>
        <v>0</v>
      </c>
      <c r="Z16" s="252">
        <f>Z8*('Result (CPU, Memory, Disk)'!$B47+'Result (CPU, Memory, Disk)'!$B48+'Result (CPU, Memory, Disk)'!$B49)</f>
        <v>0</v>
      </c>
      <c r="AA16" s="252">
        <f>AA8*('Result (CPU, Memory, Disk)'!$B47+'Result (CPU, Memory, Disk)'!$B48+'Result (CPU, Memory, Disk)'!$B49)</f>
        <v>0</v>
      </c>
      <c r="AB16" s="252">
        <f>AB8*('Result (CPU, Memory, Disk)'!$B47+'Result (CPU, Memory, Disk)'!$B48+'Result (CPU, Memory, Disk)'!$B49)</f>
        <v>0</v>
      </c>
    </row>
    <row r="17" spans="1:28" ht="12.75">
      <c r="A17" s="245"/>
      <c r="B17" s="248"/>
      <c r="C17" s="279" t="s">
        <v>455</v>
      </c>
      <c r="D17" s="278"/>
      <c r="E17" s="252">
        <f>E9*('Result (CPU, Memory, Disk)'!$B16+'Result (CPU, Memory, Disk)'!$B17+'Result (CPU, Memory, Disk)'!$B18)</f>
        <v>0</v>
      </c>
      <c r="F17" s="252">
        <f>F9*('Result (CPU, Memory, Disk)'!$B16+'Result (CPU, Memory, Disk)'!$B17+'Result (CPU, Memory, Disk)'!$B18)</f>
        <v>0</v>
      </c>
      <c r="G17" s="252">
        <f>G9*('Result (CPU, Memory, Disk)'!$B16+'Result (CPU, Memory, Disk)'!$B17+'Result (CPU, Memory, Disk)'!$B18)</f>
        <v>0</v>
      </c>
      <c r="H17" s="252">
        <f>H9*('Result (CPU, Memory, Disk)'!$B16+'Result (CPU, Memory, Disk)'!$B17+'Result (CPU, Memory, Disk)'!$B18)</f>
        <v>0</v>
      </c>
      <c r="I17" s="252">
        <f>I9*('Result (CPU, Memory, Disk)'!$B16+'Result (CPU, Memory, Disk)'!$B17+'Result (CPU, Memory, Disk)'!$B18)</f>
        <v>0</v>
      </c>
      <c r="J17" s="252">
        <f>J9*('Result (CPU, Memory, Disk)'!$B16+'Result (CPU, Memory, Disk)'!$B17+'Result (CPU, Memory, Disk)'!$B18)</f>
        <v>0</v>
      </c>
      <c r="K17" s="252">
        <f>K9*('Result (CPU, Memory, Disk)'!$B16+'Result (CPU, Memory, Disk)'!$B17+'Result (CPU, Memory, Disk)'!$B18)</f>
        <v>0</v>
      </c>
      <c r="L17" s="252">
        <f>L9*('Result (CPU, Memory, Disk)'!$B16+'Result (CPU, Memory, Disk)'!$B17+'Result (CPU, Memory, Disk)'!$B18)</f>
        <v>0</v>
      </c>
      <c r="M17" s="252">
        <f>M9*('Result (CPU, Memory, Disk)'!$B16+'Result (CPU, Memory, Disk)'!$B17+'Result (CPU, Memory, Disk)'!$B18)</f>
        <v>0</v>
      </c>
      <c r="N17" s="252">
        <f>N9*('Result (CPU, Memory, Disk)'!$B16+'Result (CPU, Memory, Disk)'!$B17+'Result (CPU, Memory, Disk)'!$B18)</f>
        <v>0</v>
      </c>
      <c r="O17" s="252">
        <f>O9*('Result (CPU, Memory, Disk)'!$B16+'Result (CPU, Memory, Disk)'!$B17+'Result (CPU, Memory, Disk)'!$B18)</f>
        <v>0</v>
      </c>
      <c r="P17" s="252">
        <f>P9*('Result (CPU, Memory, Disk)'!$B16+'Result (CPU, Memory, Disk)'!$B17+'Result (CPU, Memory, Disk)'!$B18)</f>
        <v>0</v>
      </c>
      <c r="Q17" s="252">
        <f>Q9*('Result (CPU, Memory, Disk)'!$B16+'Result (CPU, Memory, Disk)'!$B17+'Result (CPU, Memory, Disk)'!$B18)</f>
        <v>0</v>
      </c>
      <c r="R17" s="252">
        <f>R9*('Result (CPU, Memory, Disk)'!$B16+'Result (CPU, Memory, Disk)'!$B17+'Result (CPU, Memory, Disk)'!$B18)</f>
        <v>0</v>
      </c>
      <c r="S17" s="252">
        <f>S9*('Result (CPU, Memory, Disk)'!$B16+'Result (CPU, Memory, Disk)'!$B17+'Result (CPU, Memory, Disk)'!$B18)</f>
        <v>0</v>
      </c>
      <c r="T17" s="252">
        <f>T9*('Result (CPU, Memory, Disk)'!$B16+'Result (CPU, Memory, Disk)'!$B17+'Result (CPU, Memory, Disk)'!$B18)</f>
        <v>0</v>
      </c>
      <c r="U17" s="252">
        <f>U9*('Result (CPU, Memory, Disk)'!$B16+'Result (CPU, Memory, Disk)'!$B17+'Result (CPU, Memory, Disk)'!$B18)</f>
        <v>0</v>
      </c>
      <c r="V17" s="252">
        <f>V9*('Result (CPU, Memory, Disk)'!$B16+'Result (CPU, Memory, Disk)'!$B17+'Result (CPU, Memory, Disk)'!$B18)</f>
        <v>0</v>
      </c>
      <c r="W17" s="252">
        <f>W9*('Result (CPU, Memory, Disk)'!$B16+'Result (CPU, Memory, Disk)'!$B17+'Result (CPU, Memory, Disk)'!$B18)</f>
        <v>0</v>
      </c>
      <c r="X17" s="252">
        <f>X9*('Result (CPU, Memory, Disk)'!$B16+'Result (CPU, Memory, Disk)'!$B17+'Result (CPU, Memory, Disk)'!$B18)</f>
        <v>0</v>
      </c>
      <c r="Y17" s="252">
        <f>Y9*('Result (CPU, Memory, Disk)'!$B16+'Result (CPU, Memory, Disk)'!$B17+'Result (CPU, Memory, Disk)'!$B18)</f>
        <v>0</v>
      </c>
      <c r="Z17" s="252">
        <f>Z9*('Result (CPU, Memory, Disk)'!$B16+'Result (CPU, Memory, Disk)'!$B17+'Result (CPU, Memory, Disk)'!$B18)</f>
        <v>0</v>
      </c>
      <c r="AA17" s="252">
        <f>AA9*('Result (CPU, Memory, Disk)'!$B16+'Result (CPU, Memory, Disk)'!$B17+'Result (CPU, Memory, Disk)'!$B18)</f>
        <v>0</v>
      </c>
      <c r="AB17" s="252">
        <f>AB9*('Result (CPU, Memory, Disk)'!$B16+'Result (CPU, Memory, Disk)'!$B17+'Result (CPU, Memory, Disk)'!$B18)</f>
        <v>0</v>
      </c>
    </row>
    <row r="18" spans="1:28" ht="12.75">
      <c r="A18" s="129"/>
      <c r="B18" s="246"/>
      <c r="C18" s="246"/>
      <c r="D18" s="246"/>
      <c r="E18" s="252"/>
      <c r="F18" s="252"/>
      <c r="G18" s="252"/>
      <c r="H18" s="252"/>
      <c r="I18" s="252"/>
      <c r="J18" s="252"/>
      <c r="K18" s="252"/>
      <c r="L18" s="252"/>
      <c r="M18" s="252"/>
      <c r="N18" s="252"/>
      <c r="O18" s="252"/>
      <c r="P18" s="252"/>
      <c r="Q18" s="252"/>
      <c r="R18" s="252"/>
      <c r="S18" s="252"/>
      <c r="T18" s="252"/>
      <c r="U18" s="252"/>
      <c r="V18" s="252"/>
      <c r="W18" s="252"/>
      <c r="X18" s="252"/>
      <c r="Y18" s="252"/>
      <c r="Z18" s="252"/>
      <c r="AA18" s="252"/>
      <c r="AB18" s="252"/>
    </row>
    <row r="19" spans="1:28" ht="12.75">
      <c r="A19" s="256"/>
      <c r="B19" s="245"/>
      <c r="C19" s="276" t="s">
        <v>481</v>
      </c>
      <c r="D19" s="276"/>
      <c r="E19" s="253">
        <v>0</v>
      </c>
      <c r="F19" s="253">
        <v>1</v>
      </c>
      <c r="G19" s="253">
        <v>2</v>
      </c>
      <c r="H19" s="253">
        <v>3</v>
      </c>
      <c r="I19" s="253">
        <v>4</v>
      </c>
      <c r="J19" s="253">
        <v>5</v>
      </c>
      <c r="K19" s="253">
        <v>6</v>
      </c>
      <c r="L19" s="253">
        <v>7</v>
      </c>
      <c r="M19" s="253">
        <v>8</v>
      </c>
      <c r="N19" s="253">
        <v>9</v>
      </c>
      <c r="O19" s="253">
        <v>10</v>
      </c>
      <c r="P19" s="253">
        <v>11</v>
      </c>
      <c r="Q19" s="253">
        <v>12</v>
      </c>
      <c r="R19" s="253">
        <v>13</v>
      </c>
      <c r="S19" s="253">
        <v>14</v>
      </c>
      <c r="T19" s="253">
        <v>15</v>
      </c>
      <c r="U19" s="253">
        <v>16</v>
      </c>
      <c r="V19" s="253">
        <v>17</v>
      </c>
      <c r="W19" s="253">
        <v>18</v>
      </c>
      <c r="X19" s="253">
        <v>19</v>
      </c>
      <c r="Y19" s="253">
        <v>20</v>
      </c>
      <c r="Z19" s="253">
        <v>21</v>
      </c>
      <c r="AA19" s="253">
        <v>22</v>
      </c>
      <c r="AB19" s="253">
        <v>23</v>
      </c>
    </row>
    <row r="20" spans="1:28" ht="12.75">
      <c r="A20" s="256" t="s">
        <v>478</v>
      </c>
      <c r="B20" s="245"/>
      <c r="C20" s="277">
        <f>MAX(E20:AB20)</f>
        <v>0</v>
      </c>
      <c r="D20" s="278"/>
      <c r="E20" s="250">
        <f>E4*'Result (CPU, Memory, Disk)'!$B4+E5*'Result (CPU, Memory, Disk)'!$B10+E6*'Result (CPU, Memory, Disk)'!$B37+E7*'Result (CPU, Memory, Disk)'!$B42+Workload!E8*'Result (CPU, Memory, Disk)'!$B47+E9*'Result (CPU, Memory, Disk)'!$B16</f>
        <v>0</v>
      </c>
      <c r="F20" s="250">
        <f>F4*'Result (CPU, Memory, Disk)'!$B4+F5*'Result (CPU, Memory, Disk)'!$B10+F6*'Result (CPU, Memory, Disk)'!$B37+F7*'Result (CPU, Memory, Disk)'!$B42+Workload!F8*'Result (CPU, Memory, Disk)'!$B47+F9*'Result (CPU, Memory, Disk)'!$B16</f>
        <v>0</v>
      </c>
      <c r="G20" s="250">
        <f>G4*'Result (CPU, Memory, Disk)'!$B4+G5*'Result (CPU, Memory, Disk)'!$B10+G6*'Result (CPU, Memory, Disk)'!$B37+G7*'Result (CPU, Memory, Disk)'!$B42+Workload!G8*'Result (CPU, Memory, Disk)'!$B47+G9*'Result (CPU, Memory, Disk)'!$B16</f>
        <v>0</v>
      </c>
      <c r="H20" s="250">
        <f>H4*'Result (CPU, Memory, Disk)'!$B4+H5*'Result (CPU, Memory, Disk)'!$B10+H6*'Result (CPU, Memory, Disk)'!$B37+H7*'Result (CPU, Memory, Disk)'!$B42+Workload!H8*'Result (CPU, Memory, Disk)'!$B47+H9*'Result (CPU, Memory, Disk)'!$B16</f>
        <v>0</v>
      </c>
      <c r="I20" s="250">
        <f>I4*'Result (CPU, Memory, Disk)'!$B4+I5*'Result (CPU, Memory, Disk)'!$B10+I6*'Result (CPU, Memory, Disk)'!$B37+I7*'Result (CPU, Memory, Disk)'!$B42+Workload!I8*'Result (CPU, Memory, Disk)'!$B47+I9*'Result (CPU, Memory, Disk)'!$B16</f>
        <v>0</v>
      </c>
      <c r="J20" s="250">
        <f>J4*'Result (CPU, Memory, Disk)'!$B4+J5*'Result (CPU, Memory, Disk)'!$B10+J6*'Result (CPU, Memory, Disk)'!$B37+J7*'Result (CPU, Memory, Disk)'!$B42+Workload!J8*'Result (CPU, Memory, Disk)'!$B47+J9*'Result (CPU, Memory, Disk)'!$B16</f>
        <v>0</v>
      </c>
      <c r="K20" s="250">
        <f>K4*'Result (CPU, Memory, Disk)'!$B4+K5*'Result (CPU, Memory, Disk)'!$B10+K6*'Result (CPU, Memory, Disk)'!$B37+K7*'Result (CPU, Memory, Disk)'!$B42+Workload!K8*'Result (CPU, Memory, Disk)'!$B47+K9*'Result (CPU, Memory, Disk)'!$B16</f>
        <v>0</v>
      </c>
      <c r="L20" s="250">
        <f>L4*'Result (CPU, Memory, Disk)'!$B4+L5*'Result (CPU, Memory, Disk)'!$B10+L6*'Result (CPU, Memory, Disk)'!$B37+L7*'Result (CPU, Memory, Disk)'!$B42+Workload!L8*'Result (CPU, Memory, Disk)'!$B47+L9*'Result (CPU, Memory, Disk)'!$B16</f>
        <v>0</v>
      </c>
      <c r="M20" s="250">
        <f>M4*'Result (CPU, Memory, Disk)'!$B4+M5*'Result (CPU, Memory, Disk)'!$B10+M6*'Result (CPU, Memory, Disk)'!$B37+M7*'Result (CPU, Memory, Disk)'!$B42+Workload!M8*'Result (CPU, Memory, Disk)'!$B47+M9*'Result (CPU, Memory, Disk)'!$B16</f>
        <v>0</v>
      </c>
      <c r="N20" s="250">
        <f>N4*'Result (CPU, Memory, Disk)'!$B4+N5*'Result (CPU, Memory, Disk)'!$B10+N6*'Result (CPU, Memory, Disk)'!$B37+N7*'Result (CPU, Memory, Disk)'!$B42+Workload!N8*'Result (CPU, Memory, Disk)'!$B47+N9*'Result (CPU, Memory, Disk)'!$B16</f>
        <v>0</v>
      </c>
      <c r="O20" s="250">
        <f>O4*'Result (CPU, Memory, Disk)'!$B4+O5*'Result (CPU, Memory, Disk)'!$B10+O6*'Result (CPU, Memory, Disk)'!$B37+O7*'Result (CPU, Memory, Disk)'!$B42+Workload!O8*'Result (CPU, Memory, Disk)'!$B47+O9*'Result (CPU, Memory, Disk)'!$B16</f>
        <v>0</v>
      </c>
      <c r="P20" s="250">
        <f>P4*'Result (CPU, Memory, Disk)'!$B4+P5*'Result (CPU, Memory, Disk)'!$B10+P6*'Result (CPU, Memory, Disk)'!$B37+P7*'Result (CPU, Memory, Disk)'!$B42+Workload!P8*'Result (CPU, Memory, Disk)'!$B47+P9*'Result (CPU, Memory, Disk)'!$B16</f>
        <v>0</v>
      </c>
      <c r="Q20" s="250">
        <f>Q4*'Result (CPU, Memory, Disk)'!$B4+Q5*'Result (CPU, Memory, Disk)'!$B10+Q6*'Result (CPU, Memory, Disk)'!$B37+Q7*'Result (CPU, Memory, Disk)'!$B42+Workload!Q8*'Result (CPU, Memory, Disk)'!$B47+Q9*'Result (CPU, Memory, Disk)'!$B16</f>
        <v>0</v>
      </c>
      <c r="R20" s="250">
        <f>R4*'Result (CPU, Memory, Disk)'!$B4+R5*'Result (CPU, Memory, Disk)'!$B10+R6*'Result (CPU, Memory, Disk)'!$B37+R7*'Result (CPU, Memory, Disk)'!$B42+Workload!R8*'Result (CPU, Memory, Disk)'!$B47+R9*'Result (CPU, Memory, Disk)'!$B16</f>
        <v>0</v>
      </c>
      <c r="S20" s="250">
        <f>S4*'Result (CPU, Memory, Disk)'!$B4+S5*'Result (CPU, Memory, Disk)'!$B10+S6*'Result (CPU, Memory, Disk)'!$B37+S7*'Result (CPU, Memory, Disk)'!$B42+Workload!S8*'Result (CPU, Memory, Disk)'!$B47+S9*'Result (CPU, Memory, Disk)'!$B16</f>
        <v>0</v>
      </c>
      <c r="T20" s="250">
        <f>T4*'Result (CPU, Memory, Disk)'!$B4+T5*'Result (CPU, Memory, Disk)'!$B10+T6*'Result (CPU, Memory, Disk)'!$B37+T7*'Result (CPU, Memory, Disk)'!$B42+Workload!T8*'Result (CPU, Memory, Disk)'!$B47+T9*'Result (CPU, Memory, Disk)'!$B16</f>
        <v>0</v>
      </c>
      <c r="U20" s="250">
        <f>U4*'Result (CPU, Memory, Disk)'!$B4+U5*'Result (CPU, Memory, Disk)'!$B10+U6*'Result (CPU, Memory, Disk)'!$B37+U7*'Result (CPU, Memory, Disk)'!$B42+Workload!U8*'Result (CPU, Memory, Disk)'!$B47+U9*'Result (CPU, Memory, Disk)'!$B16</f>
        <v>0</v>
      </c>
      <c r="V20" s="250">
        <f>V4*'Result (CPU, Memory, Disk)'!$B4+V5*'Result (CPU, Memory, Disk)'!$B10+V6*'Result (CPU, Memory, Disk)'!$B37+V7*'Result (CPU, Memory, Disk)'!$B42+Workload!V8*'Result (CPU, Memory, Disk)'!$B47+V9*'Result (CPU, Memory, Disk)'!$B16</f>
        <v>0</v>
      </c>
      <c r="W20" s="250">
        <f>W4*'Result (CPU, Memory, Disk)'!$B4+W5*'Result (CPU, Memory, Disk)'!$B10+W6*'Result (CPU, Memory, Disk)'!$B37+W7*'Result (CPU, Memory, Disk)'!$B42+Workload!W8*'Result (CPU, Memory, Disk)'!$B47+W9*'Result (CPU, Memory, Disk)'!$B16</f>
        <v>0</v>
      </c>
      <c r="X20" s="250">
        <f>X4*'Result (CPU, Memory, Disk)'!$B4+X5*'Result (CPU, Memory, Disk)'!$B10+X6*'Result (CPU, Memory, Disk)'!$B37+X7*'Result (CPU, Memory, Disk)'!$B42+Workload!X8*'Result (CPU, Memory, Disk)'!$B47+X9*'Result (CPU, Memory, Disk)'!$B16</f>
        <v>0</v>
      </c>
      <c r="Y20" s="250">
        <f>Y4*'Result (CPU, Memory, Disk)'!$B4+Y5*'Result (CPU, Memory, Disk)'!$B10+Y6*'Result (CPU, Memory, Disk)'!$B37+Y7*'Result (CPU, Memory, Disk)'!$B42+Workload!Y8*'Result (CPU, Memory, Disk)'!$B47+Y9*'Result (CPU, Memory, Disk)'!$B16</f>
        <v>0</v>
      </c>
      <c r="Z20" s="250">
        <f>Z4*'Result (CPU, Memory, Disk)'!$B4+Z5*'Result (CPU, Memory, Disk)'!$B10+Z6*'Result (CPU, Memory, Disk)'!$B37+Z7*'Result (CPU, Memory, Disk)'!$B42+Workload!Z8*'Result (CPU, Memory, Disk)'!$B47+Z9*'Result (CPU, Memory, Disk)'!$B16</f>
        <v>0</v>
      </c>
      <c r="AA20" s="250">
        <f>AA4*'Result (CPU, Memory, Disk)'!$B4+AA5*'Result (CPU, Memory, Disk)'!$B10+AA6*'Result (CPU, Memory, Disk)'!$B37+AA7*'Result (CPU, Memory, Disk)'!$B42+Workload!AA8*'Result (CPU, Memory, Disk)'!$B47+AA9*'Result (CPU, Memory, Disk)'!$B16</f>
        <v>0</v>
      </c>
      <c r="AB20" s="250">
        <f>AB4*'Result (CPU, Memory, Disk)'!$B4+AB5*'Result (CPU, Memory, Disk)'!$B10+AB6*'Result (CPU, Memory, Disk)'!$B37+AB7*'Result (CPU, Memory, Disk)'!$B42+Workload!AB8*'Result (CPU, Memory, Disk)'!$B47+AB9*'Result (CPU, Memory, Disk)'!$B16</f>
        <v>0</v>
      </c>
    </row>
    <row r="21" spans="1:28" ht="12.75">
      <c r="A21" s="256" t="s">
        <v>479</v>
      </c>
      <c r="B21" s="245"/>
      <c r="C21" s="277">
        <f>MAX(E21:AB21)</f>
        <v>0</v>
      </c>
      <c r="D21" s="278"/>
      <c r="E21" s="250">
        <f>E4*'Result (CPU, Memory, Disk)'!$B5+E5*'Result (CPU, Memory, Disk)'!$B11+E6*'Result (CPU, Memory, Disk)'!$B38+E7*'Result (CPU, Memory, Disk)'!$B43+E8*'Result (CPU, Memory, Disk)'!$B48+E9*'Result (CPU, Memory, Disk)'!$B17</f>
        <v>0</v>
      </c>
      <c r="F21" s="250">
        <f>F4*'Result (CPU, Memory, Disk)'!$B5+F5*'Result (CPU, Memory, Disk)'!$B11+F6*'Result (CPU, Memory, Disk)'!$B38+F7*'Result (CPU, Memory, Disk)'!$B43+F8*'Result (CPU, Memory, Disk)'!$B48+F9*'Result (CPU, Memory, Disk)'!$B17</f>
        <v>0</v>
      </c>
      <c r="G21" s="250">
        <f>G4*'Result (CPU, Memory, Disk)'!$B5+G5*'Result (CPU, Memory, Disk)'!$B11+G6*'Result (CPU, Memory, Disk)'!$B38+G7*'Result (CPU, Memory, Disk)'!$B43+G8*'Result (CPU, Memory, Disk)'!$B48+G9*'Result (CPU, Memory, Disk)'!$B17</f>
        <v>0</v>
      </c>
      <c r="H21" s="250">
        <f>H4*'Result (CPU, Memory, Disk)'!$B5+H5*'Result (CPU, Memory, Disk)'!$B11+H6*'Result (CPU, Memory, Disk)'!$B38+H7*'Result (CPU, Memory, Disk)'!$B43+H8*'Result (CPU, Memory, Disk)'!$B48+H9*'Result (CPU, Memory, Disk)'!$B17</f>
        <v>0</v>
      </c>
      <c r="I21" s="250">
        <f>I4*'Result (CPU, Memory, Disk)'!$B5+I5*'Result (CPU, Memory, Disk)'!$B11+I6*'Result (CPU, Memory, Disk)'!$B38+I7*'Result (CPU, Memory, Disk)'!$B43+I8*'Result (CPU, Memory, Disk)'!$B48+I9*'Result (CPU, Memory, Disk)'!$B17</f>
        <v>0</v>
      </c>
      <c r="J21" s="250">
        <f>J4*'Result (CPU, Memory, Disk)'!$B5+J5*'Result (CPU, Memory, Disk)'!$B11+J6*'Result (CPU, Memory, Disk)'!$B38+J7*'Result (CPU, Memory, Disk)'!$B43+J8*'Result (CPU, Memory, Disk)'!$B48+J9*'Result (CPU, Memory, Disk)'!$B17</f>
        <v>0</v>
      </c>
      <c r="K21" s="250">
        <f>K4*'Result (CPU, Memory, Disk)'!$B5+K5*'Result (CPU, Memory, Disk)'!$B11+K6*'Result (CPU, Memory, Disk)'!$B38+K7*'Result (CPU, Memory, Disk)'!$B43+K8*'Result (CPU, Memory, Disk)'!$B48+K9*'Result (CPU, Memory, Disk)'!$B17</f>
        <v>0</v>
      </c>
      <c r="L21" s="250">
        <f>L4*'Result (CPU, Memory, Disk)'!$B5+L5*'Result (CPU, Memory, Disk)'!$B11+L6*'Result (CPU, Memory, Disk)'!$B38+L7*'Result (CPU, Memory, Disk)'!$B43+L8*'Result (CPU, Memory, Disk)'!$B48+L9*'Result (CPU, Memory, Disk)'!$B17</f>
        <v>0</v>
      </c>
      <c r="M21" s="250">
        <f>M4*'Result (CPU, Memory, Disk)'!$B5+M5*'Result (CPU, Memory, Disk)'!$B11+M6*'Result (CPU, Memory, Disk)'!$B38+M7*'Result (CPU, Memory, Disk)'!$B43+M8*'Result (CPU, Memory, Disk)'!$B48+M9*'Result (CPU, Memory, Disk)'!$B17</f>
        <v>0</v>
      </c>
      <c r="N21" s="250">
        <f>N4*'Result (CPU, Memory, Disk)'!$B5+N5*'Result (CPU, Memory, Disk)'!$B11+N6*'Result (CPU, Memory, Disk)'!$B38+N7*'Result (CPU, Memory, Disk)'!$B43+N8*'Result (CPU, Memory, Disk)'!$B48+N9*'Result (CPU, Memory, Disk)'!$B17</f>
        <v>0</v>
      </c>
      <c r="O21" s="250">
        <f>O4*'Result (CPU, Memory, Disk)'!$B5+O5*'Result (CPU, Memory, Disk)'!$B11+O6*'Result (CPU, Memory, Disk)'!$B38+O7*'Result (CPU, Memory, Disk)'!$B43+O8*'Result (CPU, Memory, Disk)'!$B48+O9*'Result (CPU, Memory, Disk)'!$B17</f>
        <v>0</v>
      </c>
      <c r="P21" s="250">
        <f>P4*'Result (CPU, Memory, Disk)'!$B5+P5*'Result (CPU, Memory, Disk)'!$B11+P6*'Result (CPU, Memory, Disk)'!$B38+P7*'Result (CPU, Memory, Disk)'!$B43+P8*'Result (CPU, Memory, Disk)'!$B48+P9*'Result (CPU, Memory, Disk)'!$B17</f>
        <v>0</v>
      </c>
      <c r="Q21" s="250">
        <f>Q4*'Result (CPU, Memory, Disk)'!$B5+Q5*'Result (CPU, Memory, Disk)'!$B11+Q6*'Result (CPU, Memory, Disk)'!$B38+Q7*'Result (CPU, Memory, Disk)'!$B43+Q8*'Result (CPU, Memory, Disk)'!$B48+Q9*'Result (CPU, Memory, Disk)'!$B17</f>
        <v>0</v>
      </c>
      <c r="R21" s="250">
        <f>R4*'Result (CPU, Memory, Disk)'!$B5+R5*'Result (CPU, Memory, Disk)'!$B11+R6*'Result (CPU, Memory, Disk)'!$B38+R7*'Result (CPU, Memory, Disk)'!$B43+R8*'Result (CPU, Memory, Disk)'!$B48+R9*'Result (CPU, Memory, Disk)'!$B17</f>
        <v>0</v>
      </c>
      <c r="S21" s="250">
        <f>S4*'Result (CPU, Memory, Disk)'!$B5+S5*'Result (CPU, Memory, Disk)'!$B11+S6*'Result (CPU, Memory, Disk)'!$B38+S7*'Result (CPU, Memory, Disk)'!$B43+S8*'Result (CPU, Memory, Disk)'!$B48+S9*'Result (CPU, Memory, Disk)'!$B17</f>
        <v>0</v>
      </c>
      <c r="T21" s="250">
        <f>T4*'Result (CPU, Memory, Disk)'!$B5+T5*'Result (CPU, Memory, Disk)'!$B11+T6*'Result (CPU, Memory, Disk)'!$B38+T7*'Result (CPU, Memory, Disk)'!$B43+T8*'Result (CPU, Memory, Disk)'!$B48+T9*'Result (CPU, Memory, Disk)'!$B17</f>
        <v>0</v>
      </c>
      <c r="U21" s="250">
        <f>U4*'Result (CPU, Memory, Disk)'!$B5+U5*'Result (CPU, Memory, Disk)'!$B11+U6*'Result (CPU, Memory, Disk)'!$B38+U7*'Result (CPU, Memory, Disk)'!$B43+U8*'Result (CPU, Memory, Disk)'!$B48+U9*'Result (CPU, Memory, Disk)'!$B17</f>
        <v>0</v>
      </c>
      <c r="V21" s="250">
        <f>V4*'Result (CPU, Memory, Disk)'!$B5+V5*'Result (CPU, Memory, Disk)'!$B11+V6*'Result (CPU, Memory, Disk)'!$B38+V7*'Result (CPU, Memory, Disk)'!$B43+V8*'Result (CPU, Memory, Disk)'!$B48+V9*'Result (CPU, Memory, Disk)'!$B17</f>
        <v>0</v>
      </c>
      <c r="W21" s="250">
        <f>W4*'Result (CPU, Memory, Disk)'!$B5+W5*'Result (CPU, Memory, Disk)'!$B11+W6*'Result (CPU, Memory, Disk)'!$B38+W7*'Result (CPU, Memory, Disk)'!$B43+W8*'Result (CPU, Memory, Disk)'!$B48+W9*'Result (CPU, Memory, Disk)'!$B17</f>
        <v>0</v>
      </c>
      <c r="X21" s="250">
        <f>X4*'Result (CPU, Memory, Disk)'!$B5+X5*'Result (CPU, Memory, Disk)'!$B11+X6*'Result (CPU, Memory, Disk)'!$B38+X7*'Result (CPU, Memory, Disk)'!$B43+X8*'Result (CPU, Memory, Disk)'!$B48+X9*'Result (CPU, Memory, Disk)'!$B17</f>
        <v>0</v>
      </c>
      <c r="Y21" s="250">
        <f>Y4*'Result (CPU, Memory, Disk)'!$B5+Y5*'Result (CPU, Memory, Disk)'!$B11+Y6*'Result (CPU, Memory, Disk)'!$B38+Y7*'Result (CPU, Memory, Disk)'!$B43+Y8*'Result (CPU, Memory, Disk)'!$B48+Y9*'Result (CPU, Memory, Disk)'!$B17</f>
        <v>0</v>
      </c>
      <c r="Z21" s="250">
        <f>Z4*'Result (CPU, Memory, Disk)'!$B5+Z5*'Result (CPU, Memory, Disk)'!$B11+Z6*'Result (CPU, Memory, Disk)'!$B38+Z7*'Result (CPU, Memory, Disk)'!$B43+Z8*'Result (CPU, Memory, Disk)'!$B48+Z9*'Result (CPU, Memory, Disk)'!$B17</f>
        <v>0</v>
      </c>
      <c r="AA21" s="250">
        <f>AA4*'Result (CPU, Memory, Disk)'!$B5+AA5*'Result (CPU, Memory, Disk)'!$B11+AA6*'Result (CPU, Memory, Disk)'!$B38+AA7*'Result (CPU, Memory, Disk)'!$B43+AA8*'Result (CPU, Memory, Disk)'!$B48+AA9*'Result (CPU, Memory, Disk)'!$B17</f>
        <v>0</v>
      </c>
      <c r="AB21" s="250">
        <f>AB4*'Result (CPU, Memory, Disk)'!$B5+AB5*'Result (CPU, Memory, Disk)'!$B11+AB6*'Result (CPU, Memory, Disk)'!$B38+AB7*'Result (CPU, Memory, Disk)'!$B43+AB8*'Result (CPU, Memory, Disk)'!$B48+AB9*'Result (CPU, Memory, Disk)'!$B17</f>
        <v>0</v>
      </c>
    </row>
    <row r="22" spans="1:28" ht="12.75">
      <c r="A22" s="256" t="s">
        <v>480</v>
      </c>
      <c r="B22" s="245"/>
      <c r="C22" s="277">
        <f>MAX(E22:AB22)</f>
        <v>0</v>
      </c>
      <c r="D22" s="278"/>
      <c r="E22" s="250">
        <f>E4*'Result (CPU, Memory, Disk)'!$B6+E5*'Result (CPU, Memory, Disk)'!$B12+E6*'Result (CPU, Memory, Disk)'!$B39+E7*'Result (CPU, Memory, Disk)'!$B44+E8*'Result (CPU, Memory, Disk)'!$B49+E9*'Result (CPU, Memory, Disk)'!$B18</f>
        <v>0</v>
      </c>
      <c r="F22" s="250">
        <f>F4*'Result (CPU, Memory, Disk)'!$B6+F5*'Result (CPU, Memory, Disk)'!$B12+F6*'Result (CPU, Memory, Disk)'!$B39+F7*'Result (CPU, Memory, Disk)'!$B44+F8*'Result (CPU, Memory, Disk)'!$B49+F9*'Result (CPU, Memory, Disk)'!$B18</f>
        <v>0</v>
      </c>
      <c r="G22" s="250">
        <f>G4*'Result (CPU, Memory, Disk)'!$B6+G5*'Result (CPU, Memory, Disk)'!$B12+G6*'Result (CPU, Memory, Disk)'!$B39+G7*'Result (CPU, Memory, Disk)'!$B44+G8*'Result (CPU, Memory, Disk)'!$B49+G9*'Result (CPU, Memory, Disk)'!$B18</f>
        <v>0</v>
      </c>
      <c r="H22" s="250">
        <f>H4*'Result (CPU, Memory, Disk)'!$B6+H5*'Result (CPU, Memory, Disk)'!$B12+H6*'Result (CPU, Memory, Disk)'!$B39+H7*'Result (CPU, Memory, Disk)'!$B44+H8*'Result (CPU, Memory, Disk)'!$B49+H9*'Result (CPU, Memory, Disk)'!$B18</f>
        <v>0</v>
      </c>
      <c r="I22" s="250">
        <f>I4*'Result (CPU, Memory, Disk)'!$B6+I5*'Result (CPU, Memory, Disk)'!$B12+I6*'Result (CPU, Memory, Disk)'!$B39+I7*'Result (CPU, Memory, Disk)'!$B44+I8*'Result (CPU, Memory, Disk)'!$B49+I9*'Result (CPU, Memory, Disk)'!$B18</f>
        <v>0</v>
      </c>
      <c r="J22" s="250">
        <f>J4*'Result (CPU, Memory, Disk)'!$B6+J5*'Result (CPU, Memory, Disk)'!$B12+J6*'Result (CPU, Memory, Disk)'!$B39+J7*'Result (CPU, Memory, Disk)'!$B44+J8*'Result (CPU, Memory, Disk)'!$B49+J9*'Result (CPU, Memory, Disk)'!$B18</f>
        <v>0</v>
      </c>
      <c r="K22" s="250">
        <f>K4*'Result (CPU, Memory, Disk)'!$B6+K5*'Result (CPU, Memory, Disk)'!$B12+K6*'Result (CPU, Memory, Disk)'!$B39+K7*'Result (CPU, Memory, Disk)'!$B44+K8*'Result (CPU, Memory, Disk)'!$B49+K9*'Result (CPU, Memory, Disk)'!$B18</f>
        <v>0</v>
      </c>
      <c r="L22" s="250">
        <f>L4*'Result (CPU, Memory, Disk)'!$B6+L5*'Result (CPU, Memory, Disk)'!$B12+L6*'Result (CPU, Memory, Disk)'!$B39+L7*'Result (CPU, Memory, Disk)'!$B44+L8*'Result (CPU, Memory, Disk)'!$B49+L9*'Result (CPU, Memory, Disk)'!$B18</f>
        <v>0</v>
      </c>
      <c r="M22" s="250">
        <f>M4*'Result (CPU, Memory, Disk)'!$B6+M5*'Result (CPU, Memory, Disk)'!$B12+M6*'Result (CPU, Memory, Disk)'!$B39+M7*'Result (CPU, Memory, Disk)'!$B44+M8*'Result (CPU, Memory, Disk)'!$B49+M9*'Result (CPU, Memory, Disk)'!$B18</f>
        <v>0</v>
      </c>
      <c r="N22" s="250">
        <f>N4*'Result (CPU, Memory, Disk)'!$B6+N5*'Result (CPU, Memory, Disk)'!$B12+N6*'Result (CPU, Memory, Disk)'!$B39+N7*'Result (CPU, Memory, Disk)'!$B44+N8*'Result (CPU, Memory, Disk)'!$B49+N9*'Result (CPU, Memory, Disk)'!$B18</f>
        <v>0</v>
      </c>
      <c r="O22" s="250">
        <f>O4*'Result (CPU, Memory, Disk)'!$B6+O5*'Result (CPU, Memory, Disk)'!$B12+O6*'Result (CPU, Memory, Disk)'!$B39+O7*'Result (CPU, Memory, Disk)'!$B44+O8*'Result (CPU, Memory, Disk)'!$B49+O9*'Result (CPU, Memory, Disk)'!$B18</f>
        <v>0</v>
      </c>
      <c r="P22" s="250">
        <f>P4*'Result (CPU, Memory, Disk)'!$B6+P5*'Result (CPU, Memory, Disk)'!$B12+P6*'Result (CPU, Memory, Disk)'!$B39+P7*'Result (CPU, Memory, Disk)'!$B44+P8*'Result (CPU, Memory, Disk)'!$B49+P9*'Result (CPU, Memory, Disk)'!$B18</f>
        <v>0</v>
      </c>
      <c r="Q22" s="250">
        <f>Q4*'Result (CPU, Memory, Disk)'!$B6+Q5*'Result (CPU, Memory, Disk)'!$B12+Q6*'Result (CPU, Memory, Disk)'!$B39+Q7*'Result (CPU, Memory, Disk)'!$B44+Q8*'Result (CPU, Memory, Disk)'!$B49+Q9*'Result (CPU, Memory, Disk)'!$B18</f>
        <v>0</v>
      </c>
      <c r="R22" s="250">
        <f>R4*'Result (CPU, Memory, Disk)'!$B6+R5*'Result (CPU, Memory, Disk)'!$B12+R6*'Result (CPU, Memory, Disk)'!$B39+R7*'Result (CPU, Memory, Disk)'!$B44+R8*'Result (CPU, Memory, Disk)'!$B49+R9*'Result (CPU, Memory, Disk)'!$B18</f>
        <v>0</v>
      </c>
      <c r="S22" s="250">
        <f>S4*'Result (CPU, Memory, Disk)'!$B6+S5*'Result (CPU, Memory, Disk)'!$B12+S6*'Result (CPU, Memory, Disk)'!$B39+S7*'Result (CPU, Memory, Disk)'!$B44+S8*'Result (CPU, Memory, Disk)'!$B49+S9*'Result (CPU, Memory, Disk)'!$B18</f>
        <v>0</v>
      </c>
      <c r="T22" s="250">
        <f>T4*'Result (CPU, Memory, Disk)'!$B6+T5*'Result (CPU, Memory, Disk)'!$B12+T6*'Result (CPU, Memory, Disk)'!$B39+T7*'Result (CPU, Memory, Disk)'!$B44+T8*'Result (CPU, Memory, Disk)'!$B49+T9*'Result (CPU, Memory, Disk)'!$B18</f>
        <v>0</v>
      </c>
      <c r="U22" s="250">
        <f>U4*'Result (CPU, Memory, Disk)'!$B6+U5*'Result (CPU, Memory, Disk)'!$B12+U6*'Result (CPU, Memory, Disk)'!$B39+U7*'Result (CPU, Memory, Disk)'!$B44+U8*'Result (CPU, Memory, Disk)'!$B49+U9*'Result (CPU, Memory, Disk)'!$B18</f>
        <v>0</v>
      </c>
      <c r="V22" s="250">
        <f>V4*'Result (CPU, Memory, Disk)'!$B6+V5*'Result (CPU, Memory, Disk)'!$B12+V6*'Result (CPU, Memory, Disk)'!$B39+V7*'Result (CPU, Memory, Disk)'!$B44+V8*'Result (CPU, Memory, Disk)'!$B49+V9*'Result (CPU, Memory, Disk)'!$B18</f>
        <v>0</v>
      </c>
      <c r="W22" s="250">
        <f>W4*'Result (CPU, Memory, Disk)'!$B6+W5*'Result (CPU, Memory, Disk)'!$B12+W6*'Result (CPU, Memory, Disk)'!$B39+W7*'Result (CPU, Memory, Disk)'!$B44+W8*'Result (CPU, Memory, Disk)'!$B49+W9*'Result (CPU, Memory, Disk)'!$B18</f>
        <v>0</v>
      </c>
      <c r="X22" s="250">
        <f>X4*'Result (CPU, Memory, Disk)'!$B6+X5*'Result (CPU, Memory, Disk)'!$B12+X6*'Result (CPU, Memory, Disk)'!$B39+X7*'Result (CPU, Memory, Disk)'!$B44+X8*'Result (CPU, Memory, Disk)'!$B49+X9*'Result (CPU, Memory, Disk)'!$B18</f>
        <v>0</v>
      </c>
      <c r="Y22" s="250">
        <f>Y4*'Result (CPU, Memory, Disk)'!$B6+Y5*'Result (CPU, Memory, Disk)'!$B12+Y6*'Result (CPU, Memory, Disk)'!$B39+Y7*'Result (CPU, Memory, Disk)'!$B44+Y8*'Result (CPU, Memory, Disk)'!$B49+Y9*'Result (CPU, Memory, Disk)'!$B18</f>
        <v>0</v>
      </c>
      <c r="Z22" s="250">
        <f>Z4*'Result (CPU, Memory, Disk)'!$B6+Z5*'Result (CPU, Memory, Disk)'!$B12+Z6*'Result (CPU, Memory, Disk)'!$B39+Z7*'Result (CPU, Memory, Disk)'!$B44+Z8*'Result (CPU, Memory, Disk)'!$B49+Z9*'Result (CPU, Memory, Disk)'!$B18</f>
        <v>0</v>
      </c>
      <c r="AA22" s="250">
        <f>AA4*'Result (CPU, Memory, Disk)'!$B6+AA5*'Result (CPU, Memory, Disk)'!$B12+AA6*'Result (CPU, Memory, Disk)'!$B39+AA7*'Result (CPU, Memory, Disk)'!$B44+AA8*'Result (CPU, Memory, Disk)'!$B49+AA9*'Result (CPU, Memory, Disk)'!$B18</f>
        <v>0</v>
      </c>
      <c r="AB22" s="250">
        <f>AB4*'Result (CPU, Memory, Disk)'!$B6+AB5*'Result (CPU, Memory, Disk)'!$B12+AB6*'Result (CPU, Memory, Disk)'!$B39+AB7*'Result (CPU, Memory, Disk)'!$B44+AB8*'Result (CPU, Memory, Disk)'!$B49+AB9*'Result (CPU, Memory, Disk)'!$B18</f>
        <v>0</v>
      </c>
    </row>
    <row r="23" spans="1:28" ht="12.75">
      <c r="A23" s="256"/>
      <c r="B23" s="245"/>
      <c r="C23" s="261"/>
      <c r="D23" s="258"/>
      <c r="E23" s="250"/>
      <c r="F23" s="250"/>
      <c r="G23" s="250"/>
      <c r="H23" s="250"/>
      <c r="I23" s="250"/>
      <c r="J23" s="250"/>
      <c r="K23" s="250"/>
      <c r="L23" s="250"/>
      <c r="M23" s="250"/>
      <c r="N23" s="250"/>
      <c r="O23" s="250"/>
      <c r="P23" s="250"/>
      <c r="Q23" s="250"/>
      <c r="R23" s="250"/>
      <c r="S23" s="250"/>
      <c r="T23" s="250"/>
      <c r="U23" s="250"/>
      <c r="V23" s="250"/>
      <c r="W23" s="250"/>
      <c r="X23" s="250"/>
      <c r="Y23" s="250"/>
      <c r="Z23" s="250"/>
      <c r="AA23" s="250"/>
      <c r="AB23" s="250"/>
    </row>
    <row r="24" spans="1:28" ht="335.25" customHeight="1">
      <c r="A24" s="256"/>
      <c r="B24" s="245"/>
      <c r="C24" s="261"/>
      <c r="D24" s="258"/>
      <c r="E24" s="250"/>
      <c r="F24" s="250"/>
      <c r="G24" s="250"/>
      <c r="H24" s="250"/>
      <c r="I24" s="250"/>
      <c r="J24" s="250"/>
      <c r="K24" s="250"/>
      <c r="L24" s="250"/>
      <c r="M24" s="250"/>
      <c r="N24" s="250"/>
      <c r="O24" s="250"/>
      <c r="P24" s="250"/>
      <c r="Q24" s="250"/>
      <c r="R24" s="250"/>
      <c r="S24" s="250"/>
      <c r="T24" s="250"/>
      <c r="U24" s="250"/>
      <c r="V24" s="250"/>
      <c r="W24" s="250"/>
      <c r="X24" s="250"/>
      <c r="Y24" s="250"/>
      <c r="Z24" s="250"/>
      <c r="AA24" s="250"/>
      <c r="AB24" s="250"/>
    </row>
    <row r="25" spans="1:28" ht="12.75">
      <c r="A25" s="245"/>
      <c r="B25" s="245"/>
      <c r="C25" s="245"/>
      <c r="D25" s="245"/>
      <c r="E25" s="245"/>
      <c r="F25" s="245"/>
      <c r="G25" s="245"/>
      <c r="H25" s="245"/>
      <c r="I25" s="245"/>
      <c r="J25" s="245"/>
      <c r="K25" s="245"/>
      <c r="L25" s="245"/>
      <c r="M25" s="245"/>
      <c r="N25" s="245"/>
      <c r="O25" s="245"/>
      <c r="P25" s="245"/>
      <c r="Q25" s="245"/>
      <c r="R25" s="245"/>
      <c r="S25" s="245"/>
      <c r="T25" s="245"/>
      <c r="U25" s="245"/>
      <c r="V25" s="245"/>
      <c r="W25" s="245"/>
      <c r="X25" s="245"/>
      <c r="Y25" s="245"/>
      <c r="Z25" s="245"/>
      <c r="AA25" s="245"/>
      <c r="AB25" s="245"/>
    </row>
    <row r="26" spans="1:28" ht="29.25" customHeight="1">
      <c r="A26" s="260" t="s">
        <v>500</v>
      </c>
      <c r="B26" s="259"/>
      <c r="C26" s="259"/>
      <c r="D26" s="259"/>
      <c r="E26" s="259"/>
      <c r="F26" s="259"/>
      <c r="G26" s="259"/>
      <c r="H26" s="259"/>
      <c r="I26" s="259"/>
      <c r="J26" s="259"/>
      <c r="K26" s="259"/>
      <c r="L26" s="259"/>
      <c r="M26" s="259"/>
      <c r="N26" s="259"/>
      <c r="O26" s="259"/>
      <c r="P26" s="259"/>
      <c r="Q26" s="259"/>
      <c r="R26" s="259"/>
      <c r="S26" s="259"/>
      <c r="T26" s="259"/>
      <c r="U26" s="259"/>
      <c r="V26" s="259"/>
      <c r="W26" s="259"/>
      <c r="X26" s="259"/>
      <c r="Y26" s="259"/>
      <c r="Z26" s="259"/>
      <c r="AA26" s="259"/>
      <c r="AB26" s="259"/>
    </row>
    <row r="27" spans="1:28" ht="12.75">
      <c r="A27" s="245"/>
      <c r="B27" s="245"/>
      <c r="C27" s="245"/>
      <c r="D27" s="245"/>
      <c r="E27" s="245"/>
      <c r="F27" s="245"/>
      <c r="G27" s="245"/>
      <c r="H27" s="245"/>
      <c r="I27" s="245"/>
      <c r="J27" s="245"/>
      <c r="K27" s="245"/>
      <c r="L27" s="245"/>
      <c r="M27" s="245"/>
      <c r="N27" s="245"/>
      <c r="O27" s="245"/>
      <c r="P27" s="245"/>
      <c r="Q27" s="245"/>
      <c r="R27" s="245"/>
      <c r="S27" s="245"/>
      <c r="T27" s="245"/>
      <c r="U27" s="245"/>
      <c r="V27" s="245"/>
      <c r="W27" s="245"/>
      <c r="X27" s="245"/>
      <c r="Y27" s="245"/>
      <c r="Z27" s="245"/>
      <c r="AA27" s="245"/>
      <c r="AB27" s="245"/>
    </row>
    <row r="28" spans="1:28" ht="12.75">
      <c r="A28" s="256"/>
      <c r="B28" s="245"/>
      <c r="C28" s="276" t="s">
        <v>481</v>
      </c>
      <c r="D28" s="276"/>
      <c r="E28" s="253">
        <v>0</v>
      </c>
      <c r="F28" s="253">
        <v>1</v>
      </c>
      <c r="G28" s="253">
        <v>2</v>
      </c>
      <c r="H28" s="253">
        <v>3</v>
      </c>
      <c r="I28" s="253">
        <v>4</v>
      </c>
      <c r="J28" s="253">
        <v>5</v>
      </c>
      <c r="K28" s="253">
        <v>6</v>
      </c>
      <c r="L28" s="253">
        <v>7</v>
      </c>
      <c r="M28" s="253">
        <v>8</v>
      </c>
      <c r="N28" s="253">
        <v>9</v>
      </c>
      <c r="O28" s="253">
        <v>10</v>
      </c>
      <c r="P28" s="253">
        <v>11</v>
      </c>
      <c r="Q28" s="253">
        <v>12</v>
      </c>
      <c r="R28" s="253">
        <v>13</v>
      </c>
      <c r="S28" s="253">
        <v>14</v>
      </c>
      <c r="T28" s="253">
        <v>15</v>
      </c>
      <c r="U28" s="253">
        <v>16</v>
      </c>
      <c r="V28" s="253">
        <v>17</v>
      </c>
      <c r="W28" s="253">
        <v>18</v>
      </c>
      <c r="X28" s="253">
        <v>19</v>
      </c>
      <c r="Y28" s="253">
        <v>20</v>
      </c>
      <c r="Z28" s="253">
        <v>21</v>
      </c>
      <c r="AA28" s="253">
        <v>22</v>
      </c>
      <c r="AB28" s="253">
        <v>23</v>
      </c>
    </row>
    <row r="29" spans="1:28" ht="12.75">
      <c r="A29" s="256" t="s">
        <v>501</v>
      </c>
      <c r="B29" s="245"/>
      <c r="C29" s="277">
        <f>MAX(E29:AB29)</f>
        <v>0</v>
      </c>
      <c r="D29" s="278"/>
      <c r="E29" s="250">
        <f>E4*'Result (CPU, Memory, Disk)'!$E4+E5*'Result (CPU, Memory, Disk)'!$E10+E6*'Result (CPU, Memory, Disk)'!$E37+E7*'Result (CPU, Memory, Disk)'!$E42+E8*'Result (CPU, Memory, Disk)'!$E47+E9*'Result (CPU, Memory, Disk)'!$E16</f>
        <v>0</v>
      </c>
      <c r="F29" s="250">
        <f>F4*'Result (CPU, Memory, Disk)'!$E4+F5*'Result (CPU, Memory, Disk)'!$E10+F6*'Result (CPU, Memory, Disk)'!$E37+F7*'Result (CPU, Memory, Disk)'!$E42+F8*'Result (CPU, Memory, Disk)'!$E47+F9*'Result (CPU, Memory, Disk)'!$E16</f>
        <v>0</v>
      </c>
      <c r="G29" s="250">
        <f>G4*'Result (CPU, Memory, Disk)'!$E4+G5*'Result (CPU, Memory, Disk)'!$E10+G6*'Result (CPU, Memory, Disk)'!$E37+G7*'Result (CPU, Memory, Disk)'!$E42+G8*'Result (CPU, Memory, Disk)'!$E47+G9*'Result (CPU, Memory, Disk)'!$E16</f>
        <v>0</v>
      </c>
      <c r="H29" s="250">
        <f>H4*'Result (CPU, Memory, Disk)'!$E4+H5*'Result (CPU, Memory, Disk)'!$E10+H6*'Result (CPU, Memory, Disk)'!$E37+H7*'Result (CPU, Memory, Disk)'!$E42+H8*'Result (CPU, Memory, Disk)'!$E47+H9*'Result (CPU, Memory, Disk)'!$E16</f>
        <v>0</v>
      </c>
      <c r="I29" s="250">
        <f>I4*'Result (CPU, Memory, Disk)'!$E4+I5*'Result (CPU, Memory, Disk)'!$E10+I6*'Result (CPU, Memory, Disk)'!$E37+I7*'Result (CPU, Memory, Disk)'!$E42+I8*'Result (CPU, Memory, Disk)'!$E47+I9*'Result (CPU, Memory, Disk)'!$E16</f>
        <v>0</v>
      </c>
      <c r="J29" s="250">
        <f>J4*'Result (CPU, Memory, Disk)'!$E4+J5*'Result (CPU, Memory, Disk)'!$E10+J6*'Result (CPU, Memory, Disk)'!$E37+J7*'Result (CPU, Memory, Disk)'!$E42+J8*'Result (CPU, Memory, Disk)'!$E47+J9*'Result (CPU, Memory, Disk)'!$E16</f>
        <v>0</v>
      </c>
      <c r="K29" s="250">
        <f>K4*'Result (CPU, Memory, Disk)'!$E4+K5*'Result (CPU, Memory, Disk)'!$E10+K6*'Result (CPU, Memory, Disk)'!$E37+K7*'Result (CPU, Memory, Disk)'!$E42+K8*'Result (CPU, Memory, Disk)'!$E47+K9*'Result (CPU, Memory, Disk)'!$E16</f>
        <v>0</v>
      </c>
      <c r="L29" s="250">
        <f>L4*'Result (CPU, Memory, Disk)'!$E4+L5*'Result (CPU, Memory, Disk)'!$E10+L6*'Result (CPU, Memory, Disk)'!$E37+L7*'Result (CPU, Memory, Disk)'!$E42+L8*'Result (CPU, Memory, Disk)'!$E47+L9*'Result (CPU, Memory, Disk)'!$E16</f>
        <v>0</v>
      </c>
      <c r="M29" s="250">
        <f>M4*'Result (CPU, Memory, Disk)'!$E4+M5*'Result (CPU, Memory, Disk)'!$E10+M6*'Result (CPU, Memory, Disk)'!$E37+M7*'Result (CPU, Memory, Disk)'!$E42+M8*'Result (CPU, Memory, Disk)'!$E47+M9*'Result (CPU, Memory, Disk)'!$E16</f>
        <v>0</v>
      </c>
      <c r="N29" s="250">
        <f>N4*'Result (CPU, Memory, Disk)'!$E4+N5*'Result (CPU, Memory, Disk)'!$E10+N6*'Result (CPU, Memory, Disk)'!$E37+N7*'Result (CPU, Memory, Disk)'!$E42+N8*'Result (CPU, Memory, Disk)'!$E47+N9*'Result (CPU, Memory, Disk)'!$E16</f>
        <v>0</v>
      </c>
      <c r="O29" s="250">
        <f>O4*'Result (CPU, Memory, Disk)'!$E4+O5*'Result (CPU, Memory, Disk)'!$E10+O6*'Result (CPU, Memory, Disk)'!$E37+O7*'Result (CPU, Memory, Disk)'!$E42+O8*'Result (CPU, Memory, Disk)'!$E47+O9*'Result (CPU, Memory, Disk)'!$E16</f>
        <v>0</v>
      </c>
      <c r="P29" s="250">
        <f>P4*'Result (CPU, Memory, Disk)'!$E4+P5*'Result (CPU, Memory, Disk)'!$E10+P6*'Result (CPU, Memory, Disk)'!$E37+P7*'Result (CPU, Memory, Disk)'!$E42+P8*'Result (CPU, Memory, Disk)'!$E47+P9*'Result (CPU, Memory, Disk)'!$E16</f>
        <v>0</v>
      </c>
      <c r="Q29" s="250">
        <f>Q4*'Result (CPU, Memory, Disk)'!$E4+Q5*'Result (CPU, Memory, Disk)'!$E10+Q6*'Result (CPU, Memory, Disk)'!$E37+Q7*'Result (CPU, Memory, Disk)'!$E42+Q8*'Result (CPU, Memory, Disk)'!$E47+Q9*'Result (CPU, Memory, Disk)'!$E16</f>
        <v>0</v>
      </c>
      <c r="R29" s="250">
        <f>R4*'Result (CPU, Memory, Disk)'!$E4+R5*'Result (CPU, Memory, Disk)'!$E10+R6*'Result (CPU, Memory, Disk)'!$E37+R7*'Result (CPU, Memory, Disk)'!$E42+R8*'Result (CPU, Memory, Disk)'!$E47+R9*'Result (CPU, Memory, Disk)'!$E16</f>
        <v>0</v>
      </c>
      <c r="S29" s="250">
        <f>S4*'Result (CPU, Memory, Disk)'!$E4+S5*'Result (CPU, Memory, Disk)'!$E10+S6*'Result (CPU, Memory, Disk)'!$E37+S7*'Result (CPU, Memory, Disk)'!$E42+S8*'Result (CPU, Memory, Disk)'!$E47+S9*'Result (CPU, Memory, Disk)'!$E16</f>
        <v>0</v>
      </c>
      <c r="T29" s="250">
        <f>T4*'Result (CPU, Memory, Disk)'!$E4+T5*'Result (CPU, Memory, Disk)'!$E10+T6*'Result (CPU, Memory, Disk)'!$E37+T7*'Result (CPU, Memory, Disk)'!$E42+T8*'Result (CPU, Memory, Disk)'!$E47+T9*'Result (CPU, Memory, Disk)'!$E16</f>
        <v>0</v>
      </c>
      <c r="U29" s="250">
        <f>U4*'Result (CPU, Memory, Disk)'!$E4+U5*'Result (CPU, Memory, Disk)'!$E10+U6*'Result (CPU, Memory, Disk)'!$E37+U7*'Result (CPU, Memory, Disk)'!$E42+U8*'Result (CPU, Memory, Disk)'!$E47+U9*'Result (CPU, Memory, Disk)'!$E16</f>
        <v>0</v>
      </c>
      <c r="V29" s="250">
        <f>V4*'Result (CPU, Memory, Disk)'!$E4+V5*'Result (CPU, Memory, Disk)'!$E10+V6*'Result (CPU, Memory, Disk)'!$E37+V7*'Result (CPU, Memory, Disk)'!$E42+V8*'Result (CPU, Memory, Disk)'!$E47+V9*'Result (CPU, Memory, Disk)'!$E16</f>
        <v>0</v>
      </c>
      <c r="W29" s="250">
        <f>W4*'Result (CPU, Memory, Disk)'!$E4+W5*'Result (CPU, Memory, Disk)'!$E10+W6*'Result (CPU, Memory, Disk)'!$E37+W7*'Result (CPU, Memory, Disk)'!$E42+W8*'Result (CPU, Memory, Disk)'!$E47+W9*'Result (CPU, Memory, Disk)'!$E16</f>
        <v>0</v>
      </c>
      <c r="X29" s="250">
        <f>X4*'Result (CPU, Memory, Disk)'!$E4+X5*'Result (CPU, Memory, Disk)'!$E10+X6*'Result (CPU, Memory, Disk)'!$E37+X7*'Result (CPU, Memory, Disk)'!$E42+X8*'Result (CPU, Memory, Disk)'!$E47+X9*'Result (CPU, Memory, Disk)'!$E16</f>
        <v>0</v>
      </c>
      <c r="Y29" s="250">
        <f>Y4*'Result (CPU, Memory, Disk)'!$E4+Y5*'Result (CPU, Memory, Disk)'!$E10+Y6*'Result (CPU, Memory, Disk)'!$E37+Y7*'Result (CPU, Memory, Disk)'!$E42+Y8*'Result (CPU, Memory, Disk)'!$E47+Y9*'Result (CPU, Memory, Disk)'!$E16</f>
        <v>0</v>
      </c>
      <c r="Z29" s="250">
        <f>Z4*'Result (CPU, Memory, Disk)'!$E4+Z5*'Result (CPU, Memory, Disk)'!$E10+Z6*'Result (CPU, Memory, Disk)'!$E37+Z7*'Result (CPU, Memory, Disk)'!$E42+Z8*'Result (CPU, Memory, Disk)'!$E47+Z9*'Result (CPU, Memory, Disk)'!$E16</f>
        <v>0</v>
      </c>
      <c r="AA29" s="250">
        <f>AA4*'Result (CPU, Memory, Disk)'!$E4+AA5*'Result (CPU, Memory, Disk)'!$E10+AA6*'Result (CPU, Memory, Disk)'!$E37+AA7*'Result (CPU, Memory, Disk)'!$E42+AA8*'Result (CPU, Memory, Disk)'!$E47+AA9*'Result (CPU, Memory, Disk)'!$E16</f>
        <v>0</v>
      </c>
      <c r="AB29" s="250">
        <f>AB4*'Result (CPU, Memory, Disk)'!$E4+AB5*'Result (CPU, Memory, Disk)'!$E10+AB6*'Result (CPU, Memory, Disk)'!$E37+AB7*'Result (CPU, Memory, Disk)'!$E42+AB8*'Result (CPU, Memory, Disk)'!$E47+AB9*'Result (CPU, Memory, Disk)'!$E16</f>
        <v>0</v>
      </c>
    </row>
    <row r="30" spans="1:28" ht="12.75">
      <c r="A30" s="256" t="s">
        <v>502</v>
      </c>
      <c r="B30" s="245"/>
      <c r="C30" s="277">
        <f>MAX(E30:AB30)</f>
        <v>0</v>
      </c>
      <c r="D30" s="278"/>
      <c r="E30" s="250">
        <f>E4*'Result (CPU, Memory, Disk)'!$E5+E5*'Result (CPU, Memory, Disk)'!$E11+E6*'Result (CPU, Memory, Disk)'!$E38+E7*'Result (CPU, Memory, Disk)'!$E43+E8*'Result (CPU, Memory, Disk)'!$E48+E9*'Result (CPU, Memory, Disk)'!$E17</f>
        <v>0</v>
      </c>
      <c r="F30" s="250">
        <f>F4*'Result (CPU, Memory, Disk)'!$E5+F5*'Result (CPU, Memory, Disk)'!$E11+F6*'Result (CPU, Memory, Disk)'!$E38+F7*'Result (CPU, Memory, Disk)'!$E43+F8*'Result (CPU, Memory, Disk)'!$E48+F9*'Result (CPU, Memory, Disk)'!$E17</f>
        <v>0</v>
      </c>
      <c r="G30" s="250">
        <f>G4*'Result (CPU, Memory, Disk)'!$E5+G5*'Result (CPU, Memory, Disk)'!$E11+G6*'Result (CPU, Memory, Disk)'!$E38+G7*'Result (CPU, Memory, Disk)'!$E43+G8*'Result (CPU, Memory, Disk)'!$E48+G9*'Result (CPU, Memory, Disk)'!$E17</f>
        <v>0</v>
      </c>
      <c r="H30" s="250">
        <f>H4*'Result (CPU, Memory, Disk)'!$E5+H5*'Result (CPU, Memory, Disk)'!$E11+H6*'Result (CPU, Memory, Disk)'!$E38+H7*'Result (CPU, Memory, Disk)'!$E43+H8*'Result (CPU, Memory, Disk)'!$E48+H9*'Result (CPU, Memory, Disk)'!$E17</f>
        <v>0</v>
      </c>
      <c r="I30" s="250">
        <f>I4*'Result (CPU, Memory, Disk)'!$E5+I5*'Result (CPU, Memory, Disk)'!$E11+I6*'Result (CPU, Memory, Disk)'!$E38+I7*'Result (CPU, Memory, Disk)'!$E43+I8*'Result (CPU, Memory, Disk)'!$E48+I9*'Result (CPU, Memory, Disk)'!$E17</f>
        <v>0</v>
      </c>
      <c r="J30" s="250">
        <f>J4*'Result (CPU, Memory, Disk)'!$E5+J5*'Result (CPU, Memory, Disk)'!$E11+J6*'Result (CPU, Memory, Disk)'!$E38+J7*'Result (CPU, Memory, Disk)'!$E43+J8*'Result (CPU, Memory, Disk)'!$E48+J9*'Result (CPU, Memory, Disk)'!$E17</f>
        <v>0</v>
      </c>
      <c r="K30" s="250">
        <f>K4*'Result (CPU, Memory, Disk)'!$E5+K5*'Result (CPU, Memory, Disk)'!$E11+K6*'Result (CPU, Memory, Disk)'!$E38+K7*'Result (CPU, Memory, Disk)'!$E43+K8*'Result (CPU, Memory, Disk)'!$E48+K9*'Result (CPU, Memory, Disk)'!$E17</f>
        <v>0</v>
      </c>
      <c r="L30" s="250">
        <f>L4*'Result (CPU, Memory, Disk)'!$E5+L5*'Result (CPU, Memory, Disk)'!$E11+L6*'Result (CPU, Memory, Disk)'!$E38+L7*'Result (CPU, Memory, Disk)'!$E43+L8*'Result (CPU, Memory, Disk)'!$E48+L9*'Result (CPU, Memory, Disk)'!$E17</f>
        <v>0</v>
      </c>
      <c r="M30" s="250">
        <f>M4*'Result (CPU, Memory, Disk)'!$E5+M5*'Result (CPU, Memory, Disk)'!$E11+M6*'Result (CPU, Memory, Disk)'!$E38+M7*'Result (CPU, Memory, Disk)'!$E43+M8*'Result (CPU, Memory, Disk)'!$E48+M9*'Result (CPU, Memory, Disk)'!$E17</f>
        <v>0</v>
      </c>
      <c r="N30" s="250">
        <f>N4*'Result (CPU, Memory, Disk)'!$E5+N5*'Result (CPU, Memory, Disk)'!$E11+N6*'Result (CPU, Memory, Disk)'!$E38+N7*'Result (CPU, Memory, Disk)'!$E43+N8*'Result (CPU, Memory, Disk)'!$E48+N9*'Result (CPU, Memory, Disk)'!$E17</f>
        <v>0</v>
      </c>
      <c r="O30" s="250">
        <f>O4*'Result (CPU, Memory, Disk)'!$E5+O5*'Result (CPU, Memory, Disk)'!$E11+O6*'Result (CPU, Memory, Disk)'!$E38+O7*'Result (CPU, Memory, Disk)'!$E43+O8*'Result (CPU, Memory, Disk)'!$E48+O9*'Result (CPU, Memory, Disk)'!$E17</f>
        <v>0</v>
      </c>
      <c r="P30" s="250">
        <f>P4*'Result (CPU, Memory, Disk)'!$E5+P5*'Result (CPU, Memory, Disk)'!$E11+P6*'Result (CPU, Memory, Disk)'!$E38+P7*'Result (CPU, Memory, Disk)'!$E43+P8*'Result (CPU, Memory, Disk)'!$E48+P9*'Result (CPU, Memory, Disk)'!$E17</f>
        <v>0</v>
      </c>
      <c r="Q30" s="250">
        <f>Q4*'Result (CPU, Memory, Disk)'!$E5+Q5*'Result (CPU, Memory, Disk)'!$E11+Q6*'Result (CPU, Memory, Disk)'!$E38+Q7*'Result (CPU, Memory, Disk)'!$E43+Q8*'Result (CPU, Memory, Disk)'!$E48+Q9*'Result (CPU, Memory, Disk)'!$E17</f>
        <v>0</v>
      </c>
      <c r="R30" s="250">
        <f>R4*'Result (CPU, Memory, Disk)'!$E5+R5*'Result (CPU, Memory, Disk)'!$E11+R6*'Result (CPU, Memory, Disk)'!$E38+R7*'Result (CPU, Memory, Disk)'!$E43+R8*'Result (CPU, Memory, Disk)'!$E48+R9*'Result (CPU, Memory, Disk)'!$E17</f>
        <v>0</v>
      </c>
      <c r="S30" s="250">
        <f>S4*'Result (CPU, Memory, Disk)'!$E5+S5*'Result (CPU, Memory, Disk)'!$E11+S6*'Result (CPU, Memory, Disk)'!$E38+S7*'Result (CPU, Memory, Disk)'!$E43+S8*'Result (CPU, Memory, Disk)'!$E48+S9*'Result (CPU, Memory, Disk)'!$E17</f>
        <v>0</v>
      </c>
      <c r="T30" s="250">
        <f>T4*'Result (CPU, Memory, Disk)'!$E5+T5*'Result (CPU, Memory, Disk)'!$E11+T6*'Result (CPU, Memory, Disk)'!$E38+T7*'Result (CPU, Memory, Disk)'!$E43+T8*'Result (CPU, Memory, Disk)'!$E48+T9*'Result (CPU, Memory, Disk)'!$E17</f>
        <v>0</v>
      </c>
      <c r="U30" s="250">
        <f>U4*'Result (CPU, Memory, Disk)'!$E5+U5*'Result (CPU, Memory, Disk)'!$E11+U6*'Result (CPU, Memory, Disk)'!$E38+U7*'Result (CPU, Memory, Disk)'!$E43+U8*'Result (CPU, Memory, Disk)'!$E48+U9*'Result (CPU, Memory, Disk)'!$E17</f>
        <v>0</v>
      </c>
      <c r="V30" s="250">
        <f>V4*'Result (CPU, Memory, Disk)'!$E5+V5*'Result (CPU, Memory, Disk)'!$E11+V6*'Result (CPU, Memory, Disk)'!$E38+V7*'Result (CPU, Memory, Disk)'!$E43+V8*'Result (CPU, Memory, Disk)'!$E48+V9*'Result (CPU, Memory, Disk)'!$E17</f>
        <v>0</v>
      </c>
      <c r="W30" s="250">
        <f>W4*'Result (CPU, Memory, Disk)'!$E5+W5*'Result (CPU, Memory, Disk)'!$E11+W6*'Result (CPU, Memory, Disk)'!$E38+W7*'Result (CPU, Memory, Disk)'!$E43+W8*'Result (CPU, Memory, Disk)'!$E48+W9*'Result (CPU, Memory, Disk)'!$E17</f>
        <v>0</v>
      </c>
      <c r="X30" s="250">
        <f>X4*'Result (CPU, Memory, Disk)'!$E5+X5*'Result (CPU, Memory, Disk)'!$E11+X6*'Result (CPU, Memory, Disk)'!$E38+X7*'Result (CPU, Memory, Disk)'!$E43+X8*'Result (CPU, Memory, Disk)'!$E48+X9*'Result (CPU, Memory, Disk)'!$E17</f>
        <v>0</v>
      </c>
      <c r="Y30" s="250">
        <f>Y4*'Result (CPU, Memory, Disk)'!$E5+Y5*'Result (CPU, Memory, Disk)'!$E11+Y6*'Result (CPU, Memory, Disk)'!$E38+Y7*'Result (CPU, Memory, Disk)'!$E43+Y8*'Result (CPU, Memory, Disk)'!$E48+Y9*'Result (CPU, Memory, Disk)'!$E17</f>
        <v>0</v>
      </c>
      <c r="Z30" s="250">
        <f>Z4*'Result (CPU, Memory, Disk)'!$E5+Z5*'Result (CPU, Memory, Disk)'!$E11+Z6*'Result (CPU, Memory, Disk)'!$E38+Z7*'Result (CPU, Memory, Disk)'!$E43+Z8*'Result (CPU, Memory, Disk)'!$E48+Z9*'Result (CPU, Memory, Disk)'!$E17</f>
        <v>0</v>
      </c>
      <c r="AA30" s="250">
        <f>AA4*'Result (CPU, Memory, Disk)'!$E5+AA5*'Result (CPU, Memory, Disk)'!$E11+AA6*'Result (CPU, Memory, Disk)'!$E38+AA7*'Result (CPU, Memory, Disk)'!$E43+AA8*'Result (CPU, Memory, Disk)'!$E48+AA9*'Result (CPU, Memory, Disk)'!$E17</f>
        <v>0</v>
      </c>
      <c r="AB30" s="250">
        <f>AB4*'Result (CPU, Memory, Disk)'!$E5+AB5*'Result (CPU, Memory, Disk)'!$E11+AB6*'Result (CPU, Memory, Disk)'!$E38+AB7*'Result (CPU, Memory, Disk)'!$E43+AB8*'Result (CPU, Memory, Disk)'!$E48+AB9*'Result (CPU, Memory, Disk)'!$E17</f>
        <v>0</v>
      </c>
    </row>
    <row r="31" spans="1:28" ht="12.75">
      <c r="A31" s="245"/>
      <c r="B31" s="245"/>
      <c r="C31" s="245"/>
      <c r="D31" s="245"/>
      <c r="E31" s="245"/>
      <c r="F31" s="245"/>
      <c r="G31" s="245"/>
      <c r="H31" s="245"/>
      <c r="I31" s="245"/>
      <c r="J31" s="245"/>
      <c r="K31" s="245"/>
      <c r="L31" s="245"/>
      <c r="M31" s="245"/>
      <c r="N31" s="245"/>
      <c r="O31" s="245"/>
      <c r="P31" s="245"/>
      <c r="Q31" s="245"/>
      <c r="R31" s="245"/>
      <c r="S31" s="245"/>
      <c r="T31" s="245"/>
      <c r="U31" s="245"/>
      <c r="V31" s="245"/>
      <c r="W31" s="245"/>
      <c r="X31" s="245"/>
      <c r="Y31" s="245"/>
      <c r="Z31" s="245"/>
      <c r="AA31" s="245"/>
      <c r="AB31" s="245"/>
    </row>
    <row r="32" spans="1:28" ht="12.75">
      <c r="A32" s="245"/>
      <c r="B32" s="245"/>
      <c r="C32" s="245"/>
      <c r="D32" s="245"/>
      <c r="E32" s="245"/>
      <c r="F32" s="245"/>
      <c r="G32" s="245"/>
      <c r="H32" s="245"/>
      <c r="I32" s="245"/>
      <c r="J32" s="245"/>
      <c r="K32" s="245"/>
      <c r="L32" s="245"/>
      <c r="M32" s="245"/>
      <c r="N32" s="245"/>
      <c r="O32" s="245"/>
      <c r="P32" s="245"/>
      <c r="Q32" s="245"/>
      <c r="R32" s="245"/>
      <c r="S32" s="245"/>
      <c r="T32" s="245"/>
      <c r="U32" s="245"/>
      <c r="V32" s="245"/>
      <c r="W32" s="245"/>
      <c r="X32" s="245"/>
      <c r="Y32" s="245"/>
      <c r="Z32" s="245"/>
      <c r="AA32" s="245"/>
      <c r="AB32" s="245"/>
    </row>
    <row r="33" spans="1:28" ht="12.75">
      <c r="A33" s="245"/>
      <c r="B33" s="245"/>
      <c r="C33" s="245"/>
      <c r="D33" s="245"/>
      <c r="E33" s="245"/>
      <c r="F33" s="245"/>
      <c r="G33" s="245"/>
      <c r="H33" s="245"/>
      <c r="I33" s="245"/>
      <c r="J33" s="245"/>
      <c r="K33" s="245"/>
      <c r="L33" s="245"/>
      <c r="M33" s="245"/>
      <c r="N33" s="245"/>
      <c r="O33" s="245"/>
      <c r="P33" s="245"/>
      <c r="Q33" s="245"/>
      <c r="R33" s="245"/>
      <c r="S33" s="245"/>
      <c r="T33" s="245"/>
      <c r="U33" s="245"/>
      <c r="V33" s="245"/>
      <c r="W33" s="245"/>
      <c r="X33" s="245"/>
      <c r="Y33" s="245"/>
      <c r="Z33" s="245"/>
      <c r="AA33" s="245"/>
      <c r="AB33" s="245"/>
    </row>
    <row r="34" spans="1:28" ht="12.75">
      <c r="A34" s="245"/>
      <c r="B34" s="245"/>
      <c r="C34" s="245"/>
      <c r="D34" s="245"/>
      <c r="E34" s="245"/>
      <c r="F34" s="245"/>
      <c r="G34" s="245"/>
      <c r="H34" s="245"/>
      <c r="I34" s="245"/>
      <c r="J34" s="245"/>
      <c r="K34" s="245"/>
      <c r="L34" s="245"/>
      <c r="M34" s="245"/>
      <c r="N34" s="245"/>
      <c r="O34" s="245"/>
      <c r="P34" s="245"/>
      <c r="Q34" s="245"/>
      <c r="R34" s="245"/>
      <c r="S34" s="245"/>
      <c r="T34" s="245"/>
      <c r="U34" s="245"/>
      <c r="V34" s="245"/>
      <c r="W34" s="245"/>
      <c r="X34" s="245"/>
      <c r="Y34" s="245"/>
      <c r="Z34" s="245"/>
      <c r="AA34" s="245"/>
      <c r="AB34" s="245"/>
    </row>
    <row r="35" spans="1:28" ht="12.75">
      <c r="A35" s="245"/>
      <c r="B35" s="245"/>
      <c r="C35" s="245"/>
      <c r="D35" s="245"/>
      <c r="E35" s="245"/>
      <c r="F35" s="245"/>
      <c r="G35" s="245"/>
      <c r="H35" s="245"/>
      <c r="I35" s="245"/>
      <c r="J35" s="245"/>
      <c r="K35" s="245"/>
      <c r="L35" s="245"/>
      <c r="M35" s="245"/>
      <c r="N35" s="245"/>
      <c r="O35" s="245"/>
      <c r="P35" s="245"/>
      <c r="Q35" s="245"/>
      <c r="R35" s="245"/>
      <c r="S35" s="245"/>
      <c r="T35" s="245"/>
      <c r="U35" s="245"/>
      <c r="V35" s="245"/>
      <c r="W35" s="245"/>
      <c r="X35" s="245"/>
      <c r="Y35" s="245"/>
      <c r="Z35" s="245"/>
      <c r="AA35" s="245"/>
      <c r="AB35" s="245"/>
    </row>
    <row r="36" spans="1:28" ht="12.75">
      <c r="A36" s="245"/>
      <c r="B36" s="245"/>
      <c r="C36" s="245"/>
      <c r="D36" s="245"/>
      <c r="E36" s="245"/>
      <c r="F36" s="245"/>
      <c r="G36" s="245"/>
      <c r="H36" s="245"/>
      <c r="I36" s="245"/>
      <c r="J36" s="245"/>
      <c r="K36" s="245"/>
      <c r="L36" s="245"/>
      <c r="M36" s="245"/>
      <c r="N36" s="245"/>
      <c r="O36" s="245"/>
      <c r="P36" s="245"/>
      <c r="Q36" s="245"/>
      <c r="R36" s="245"/>
      <c r="S36" s="245"/>
      <c r="T36" s="245"/>
      <c r="U36" s="245"/>
      <c r="V36" s="245"/>
      <c r="W36" s="245"/>
      <c r="X36" s="245"/>
      <c r="Y36" s="245"/>
      <c r="Z36" s="245"/>
      <c r="AA36" s="245"/>
      <c r="AB36" s="245"/>
    </row>
    <row r="37" spans="1:28" ht="12.75">
      <c r="A37" s="245"/>
      <c r="B37" s="245"/>
      <c r="C37" s="245"/>
      <c r="D37" s="245"/>
      <c r="E37" s="245"/>
      <c r="F37" s="245"/>
      <c r="G37" s="245"/>
      <c r="H37" s="245"/>
      <c r="I37" s="245"/>
      <c r="J37" s="245"/>
      <c r="K37" s="245"/>
      <c r="L37" s="245"/>
      <c r="M37" s="245"/>
      <c r="N37" s="245"/>
      <c r="O37" s="245"/>
      <c r="P37" s="245"/>
      <c r="Q37" s="245"/>
      <c r="R37" s="245"/>
      <c r="S37" s="245"/>
      <c r="T37" s="245"/>
      <c r="U37" s="245"/>
      <c r="V37" s="245"/>
      <c r="W37" s="245"/>
      <c r="X37" s="245"/>
      <c r="Y37" s="245"/>
      <c r="Z37" s="245"/>
      <c r="AA37" s="245"/>
      <c r="AB37" s="245"/>
    </row>
    <row r="38" spans="1:28" ht="12.75">
      <c r="A38" s="245"/>
      <c r="B38" s="245"/>
      <c r="C38" s="245"/>
      <c r="D38" s="245"/>
      <c r="E38" s="245"/>
      <c r="F38" s="245"/>
      <c r="G38" s="245"/>
      <c r="H38" s="245"/>
      <c r="I38" s="245"/>
      <c r="J38" s="245"/>
      <c r="K38" s="245"/>
      <c r="L38" s="245"/>
      <c r="M38" s="245"/>
      <c r="N38" s="245"/>
      <c r="O38" s="245"/>
      <c r="P38" s="245"/>
      <c r="Q38" s="245"/>
      <c r="R38" s="245"/>
      <c r="S38" s="245"/>
      <c r="T38" s="245"/>
      <c r="U38" s="245"/>
      <c r="V38" s="245"/>
      <c r="W38" s="245"/>
      <c r="X38" s="245"/>
      <c r="Y38" s="245"/>
      <c r="Z38" s="245"/>
      <c r="AA38" s="245"/>
      <c r="AB38" s="245"/>
    </row>
    <row r="39" spans="1:28" ht="12.75">
      <c r="A39" s="245"/>
      <c r="B39" s="245"/>
      <c r="C39" s="245"/>
      <c r="D39" s="245"/>
      <c r="E39" s="245"/>
      <c r="F39" s="245"/>
      <c r="G39" s="245"/>
      <c r="H39" s="245"/>
      <c r="I39" s="245"/>
      <c r="J39" s="245"/>
      <c r="K39" s="245"/>
      <c r="L39" s="245"/>
      <c r="M39" s="245"/>
      <c r="N39" s="245"/>
      <c r="O39" s="245"/>
      <c r="P39" s="245"/>
      <c r="Q39" s="245"/>
      <c r="R39" s="245"/>
      <c r="S39" s="245"/>
      <c r="T39" s="245"/>
      <c r="U39" s="245"/>
      <c r="V39" s="245"/>
      <c r="W39" s="245"/>
      <c r="X39" s="245"/>
      <c r="Y39" s="245"/>
      <c r="Z39" s="245"/>
      <c r="AA39" s="245"/>
      <c r="AB39" s="245"/>
    </row>
    <row r="40" spans="1:28" ht="12.75">
      <c r="A40" s="245"/>
      <c r="B40" s="245"/>
      <c r="C40" s="245"/>
      <c r="D40" s="245"/>
      <c r="E40" s="245"/>
      <c r="F40" s="245"/>
      <c r="G40" s="245"/>
      <c r="H40" s="245"/>
      <c r="I40" s="245"/>
      <c r="J40" s="245"/>
      <c r="K40" s="245"/>
      <c r="L40" s="245"/>
      <c r="M40" s="245"/>
      <c r="N40" s="245"/>
      <c r="O40" s="245"/>
      <c r="P40" s="245"/>
      <c r="Q40" s="245"/>
      <c r="R40" s="245"/>
      <c r="S40" s="245"/>
      <c r="T40" s="245"/>
      <c r="U40" s="245"/>
      <c r="V40" s="245"/>
      <c r="W40" s="245"/>
      <c r="X40" s="245"/>
      <c r="Y40" s="245"/>
      <c r="Z40" s="245"/>
      <c r="AA40" s="245"/>
      <c r="AB40" s="245"/>
    </row>
    <row r="41" spans="1:28" ht="12.75">
      <c r="A41" s="245"/>
      <c r="B41" s="245"/>
      <c r="C41" s="245"/>
      <c r="D41" s="245"/>
      <c r="E41" s="245"/>
      <c r="F41" s="245"/>
      <c r="G41" s="245"/>
      <c r="H41" s="245"/>
      <c r="I41" s="245"/>
      <c r="J41" s="245"/>
      <c r="K41" s="245"/>
      <c r="L41" s="245"/>
      <c r="M41" s="245"/>
      <c r="N41" s="245"/>
      <c r="O41" s="245"/>
      <c r="P41" s="245"/>
      <c r="Q41" s="245"/>
      <c r="R41" s="245"/>
      <c r="S41" s="245"/>
      <c r="T41" s="245"/>
      <c r="U41" s="245"/>
      <c r="V41" s="245"/>
      <c r="W41" s="245"/>
      <c r="X41" s="245"/>
      <c r="Y41" s="245"/>
      <c r="Z41" s="245"/>
      <c r="AA41" s="245"/>
      <c r="AB41" s="245"/>
    </row>
    <row r="42" spans="1:28" ht="12.75">
      <c r="A42" s="245"/>
      <c r="B42" s="245"/>
      <c r="C42" s="245"/>
      <c r="D42" s="245"/>
      <c r="E42" s="245"/>
      <c r="F42" s="245"/>
      <c r="G42" s="245"/>
      <c r="H42" s="245"/>
      <c r="I42" s="245"/>
      <c r="J42" s="245"/>
      <c r="K42" s="245"/>
      <c r="L42" s="245"/>
      <c r="M42" s="245"/>
      <c r="N42" s="245"/>
      <c r="O42" s="245"/>
      <c r="P42" s="245"/>
      <c r="Q42" s="245"/>
      <c r="R42" s="245"/>
      <c r="S42" s="245"/>
      <c r="T42" s="245"/>
      <c r="U42" s="245"/>
      <c r="V42" s="245"/>
      <c r="W42" s="245"/>
      <c r="X42" s="245"/>
      <c r="Y42" s="245"/>
      <c r="Z42" s="245"/>
      <c r="AA42" s="245"/>
      <c r="AB42" s="245"/>
    </row>
    <row r="43" spans="1:28" ht="12.75">
      <c r="A43" s="245"/>
      <c r="B43" s="245"/>
      <c r="C43" s="245"/>
      <c r="D43" s="245"/>
      <c r="E43" s="245"/>
      <c r="F43" s="245"/>
      <c r="G43" s="245"/>
      <c r="H43" s="245"/>
      <c r="I43" s="245"/>
      <c r="J43" s="245"/>
      <c r="K43" s="245"/>
      <c r="L43" s="245"/>
      <c r="M43" s="245"/>
      <c r="N43" s="245"/>
      <c r="O43" s="245"/>
      <c r="P43" s="245"/>
      <c r="Q43" s="245"/>
      <c r="R43" s="245"/>
      <c r="S43" s="245"/>
      <c r="T43" s="245"/>
      <c r="U43" s="245"/>
      <c r="V43" s="245"/>
      <c r="W43" s="245"/>
      <c r="X43" s="245"/>
      <c r="Y43" s="245"/>
      <c r="Z43" s="245"/>
      <c r="AA43" s="245"/>
      <c r="AB43" s="245"/>
    </row>
    <row r="44" spans="1:28" ht="12.75">
      <c r="A44" s="245"/>
      <c r="B44" s="245"/>
      <c r="C44" s="245"/>
      <c r="D44" s="245"/>
      <c r="E44" s="245"/>
      <c r="F44" s="245"/>
      <c r="G44" s="245"/>
      <c r="H44" s="245"/>
      <c r="I44" s="245"/>
      <c r="J44" s="245"/>
      <c r="K44" s="245"/>
      <c r="L44" s="245"/>
      <c r="M44" s="245"/>
      <c r="N44" s="245"/>
      <c r="O44" s="245"/>
      <c r="P44" s="245"/>
      <c r="Q44" s="245"/>
      <c r="R44" s="245"/>
      <c r="S44" s="245"/>
      <c r="T44" s="245"/>
      <c r="U44" s="245"/>
      <c r="V44" s="245"/>
      <c r="W44" s="245"/>
      <c r="X44" s="245"/>
      <c r="Y44" s="245"/>
      <c r="Z44" s="245"/>
      <c r="AA44" s="245"/>
      <c r="AB44" s="245"/>
    </row>
    <row r="45" spans="1:28" ht="12.75">
      <c r="A45" s="245"/>
      <c r="B45" s="245"/>
      <c r="C45" s="245"/>
      <c r="D45" s="245"/>
      <c r="E45" s="245"/>
      <c r="F45" s="245"/>
      <c r="G45" s="245"/>
      <c r="H45" s="245"/>
      <c r="I45" s="245"/>
      <c r="J45" s="245"/>
      <c r="K45" s="245"/>
      <c r="L45" s="245"/>
      <c r="M45" s="245"/>
      <c r="N45" s="245"/>
      <c r="O45" s="245"/>
      <c r="P45" s="245"/>
      <c r="Q45" s="245"/>
      <c r="R45" s="245"/>
      <c r="S45" s="245"/>
      <c r="T45" s="245"/>
      <c r="U45" s="245"/>
      <c r="V45" s="245"/>
      <c r="W45" s="245"/>
      <c r="X45" s="245"/>
      <c r="Y45" s="245"/>
      <c r="Z45" s="245"/>
      <c r="AA45" s="245"/>
      <c r="AB45" s="245"/>
    </row>
    <row r="46" spans="1:28" ht="12.75">
      <c r="A46" s="245"/>
      <c r="B46" s="245"/>
      <c r="C46" s="245"/>
      <c r="D46" s="245"/>
      <c r="E46" s="245"/>
      <c r="F46" s="245"/>
      <c r="G46" s="245"/>
      <c r="H46" s="245"/>
      <c r="I46" s="245"/>
      <c r="J46" s="245"/>
      <c r="K46" s="245"/>
      <c r="L46" s="245"/>
      <c r="M46" s="245"/>
      <c r="N46" s="245"/>
      <c r="O46" s="245"/>
      <c r="P46" s="245"/>
      <c r="Q46" s="245"/>
      <c r="R46" s="245"/>
      <c r="S46" s="245"/>
      <c r="T46" s="245"/>
      <c r="U46" s="245"/>
      <c r="V46" s="245"/>
      <c r="W46" s="245"/>
      <c r="X46" s="245"/>
      <c r="Y46" s="245"/>
      <c r="Z46" s="245"/>
      <c r="AA46" s="245"/>
      <c r="AB46" s="245"/>
    </row>
    <row r="47" spans="1:28" ht="12.75">
      <c r="A47" s="245"/>
      <c r="B47" s="245"/>
      <c r="C47" s="245"/>
      <c r="D47" s="245"/>
      <c r="E47" s="245"/>
      <c r="F47" s="245"/>
      <c r="G47" s="245"/>
      <c r="H47" s="245"/>
      <c r="I47" s="245"/>
      <c r="J47" s="245"/>
      <c r="K47" s="245"/>
      <c r="L47" s="245"/>
      <c r="M47" s="245"/>
      <c r="N47" s="245"/>
      <c r="O47" s="245"/>
      <c r="P47" s="245"/>
      <c r="Q47" s="245"/>
      <c r="R47" s="245"/>
      <c r="S47" s="245"/>
      <c r="T47" s="245"/>
      <c r="U47" s="245"/>
      <c r="V47" s="245"/>
      <c r="W47" s="245"/>
      <c r="X47" s="245"/>
      <c r="Y47" s="245"/>
      <c r="Z47" s="245"/>
      <c r="AA47" s="245"/>
      <c r="AB47" s="245"/>
    </row>
    <row r="48" spans="1:28" ht="12.75">
      <c r="A48" s="245"/>
      <c r="B48" s="245"/>
      <c r="C48" s="245"/>
      <c r="D48" s="245"/>
      <c r="E48" s="245"/>
      <c r="F48" s="245"/>
      <c r="G48" s="245"/>
      <c r="H48" s="245"/>
      <c r="I48" s="245"/>
      <c r="J48" s="245"/>
      <c r="K48" s="245"/>
      <c r="L48" s="245"/>
      <c r="M48" s="245"/>
      <c r="N48" s="245"/>
      <c r="O48" s="245"/>
      <c r="P48" s="245"/>
      <c r="Q48" s="245"/>
      <c r="R48" s="245"/>
      <c r="S48" s="245"/>
      <c r="T48" s="245"/>
      <c r="U48" s="245"/>
      <c r="V48" s="245"/>
      <c r="W48" s="245"/>
      <c r="X48" s="245"/>
      <c r="Y48" s="245"/>
      <c r="Z48" s="245"/>
      <c r="AA48" s="245"/>
      <c r="AB48" s="245"/>
    </row>
    <row r="49" spans="1:28" ht="12.75">
      <c r="A49" s="245"/>
      <c r="B49" s="245"/>
      <c r="C49" s="245"/>
      <c r="D49" s="245"/>
      <c r="E49" s="245"/>
      <c r="F49" s="245"/>
      <c r="G49" s="245"/>
      <c r="H49" s="245"/>
      <c r="I49" s="245"/>
      <c r="J49" s="245"/>
      <c r="K49" s="245"/>
      <c r="L49" s="245"/>
      <c r="M49" s="245"/>
      <c r="N49" s="245"/>
      <c r="O49" s="245"/>
      <c r="P49" s="245"/>
      <c r="Q49" s="245"/>
      <c r="R49" s="245"/>
      <c r="S49" s="245"/>
      <c r="T49" s="245"/>
      <c r="U49" s="245"/>
      <c r="V49" s="245"/>
      <c r="W49" s="245"/>
      <c r="X49" s="245"/>
      <c r="Y49" s="245"/>
      <c r="Z49" s="245"/>
      <c r="AA49" s="245"/>
      <c r="AB49" s="245"/>
    </row>
    <row r="50" spans="1:28" ht="12.75">
      <c r="A50" s="245"/>
      <c r="B50" s="245"/>
      <c r="C50" s="245"/>
      <c r="D50" s="245"/>
      <c r="E50" s="245"/>
      <c r="F50" s="245"/>
      <c r="G50" s="245"/>
      <c r="H50" s="245"/>
      <c r="I50" s="245"/>
      <c r="J50" s="245"/>
      <c r="K50" s="245"/>
      <c r="L50" s="245"/>
      <c r="M50" s="245"/>
      <c r="N50" s="245"/>
      <c r="O50" s="245"/>
      <c r="P50" s="245"/>
      <c r="Q50" s="245"/>
      <c r="R50" s="245"/>
      <c r="S50" s="245"/>
      <c r="T50" s="245"/>
      <c r="U50" s="245"/>
      <c r="V50" s="245"/>
      <c r="W50" s="245"/>
      <c r="X50" s="245"/>
      <c r="Y50" s="245"/>
      <c r="Z50" s="245"/>
      <c r="AA50" s="245"/>
      <c r="AB50" s="245"/>
    </row>
    <row r="51" spans="1:28" ht="12.75">
      <c r="A51" s="245"/>
      <c r="B51" s="245"/>
      <c r="C51" s="245"/>
      <c r="D51" s="245"/>
      <c r="E51" s="245"/>
      <c r="F51" s="245"/>
      <c r="G51" s="245"/>
      <c r="H51" s="245"/>
      <c r="I51" s="245"/>
      <c r="J51" s="245"/>
      <c r="K51" s="245"/>
      <c r="L51" s="245"/>
      <c r="M51" s="245"/>
      <c r="N51" s="245"/>
      <c r="O51" s="245"/>
      <c r="P51" s="245"/>
      <c r="Q51" s="245"/>
      <c r="R51" s="245"/>
      <c r="S51" s="245"/>
      <c r="T51" s="245"/>
      <c r="U51" s="245"/>
      <c r="V51" s="245"/>
      <c r="W51" s="245"/>
      <c r="X51" s="245"/>
      <c r="Y51" s="245"/>
      <c r="Z51" s="245"/>
      <c r="AA51" s="245"/>
      <c r="AB51" s="245"/>
    </row>
    <row r="52" spans="1:28" ht="12.75">
      <c r="A52" s="245"/>
      <c r="B52" s="245"/>
      <c r="C52" s="245"/>
      <c r="D52" s="245"/>
      <c r="E52" s="245"/>
      <c r="F52" s="245"/>
      <c r="G52" s="245"/>
      <c r="H52" s="245"/>
      <c r="I52" s="245"/>
      <c r="J52" s="245"/>
      <c r="K52" s="245"/>
      <c r="L52" s="245"/>
      <c r="M52" s="245"/>
      <c r="N52" s="245"/>
      <c r="O52" s="245"/>
      <c r="P52" s="245"/>
      <c r="Q52" s="245"/>
      <c r="R52" s="245"/>
      <c r="S52" s="245"/>
      <c r="T52" s="245"/>
      <c r="U52" s="245"/>
      <c r="V52" s="245"/>
      <c r="W52" s="245"/>
      <c r="X52" s="245"/>
      <c r="Y52" s="245"/>
      <c r="Z52" s="245"/>
      <c r="AA52" s="245"/>
      <c r="AB52" s="245"/>
    </row>
    <row r="53" spans="1:28" ht="12.75">
      <c r="A53" s="245"/>
      <c r="B53" s="245"/>
      <c r="C53" s="245"/>
      <c r="D53" s="245"/>
      <c r="E53" s="245"/>
      <c r="F53" s="245"/>
      <c r="G53" s="245"/>
      <c r="H53" s="245"/>
      <c r="I53" s="245"/>
      <c r="J53" s="245"/>
      <c r="K53" s="245"/>
      <c r="L53" s="245"/>
      <c r="M53" s="245"/>
      <c r="N53" s="245"/>
      <c r="O53" s="245"/>
      <c r="P53" s="245"/>
      <c r="Q53" s="245"/>
      <c r="R53" s="245"/>
      <c r="S53" s="245"/>
      <c r="T53" s="245"/>
      <c r="U53" s="245"/>
      <c r="V53" s="245"/>
      <c r="W53" s="245"/>
      <c r="X53" s="245"/>
      <c r="Y53" s="245"/>
      <c r="Z53" s="245"/>
      <c r="AA53" s="245"/>
      <c r="AB53" s="245"/>
    </row>
    <row r="54" spans="1:28" ht="12.75">
      <c r="A54" s="245"/>
      <c r="B54" s="245"/>
      <c r="C54" s="245"/>
      <c r="D54" s="245"/>
      <c r="E54" s="245"/>
      <c r="F54" s="245"/>
      <c r="G54" s="245"/>
      <c r="H54" s="245"/>
      <c r="I54" s="245"/>
      <c r="J54" s="245"/>
      <c r="K54" s="245"/>
      <c r="L54" s="245"/>
      <c r="M54" s="245"/>
      <c r="N54" s="245"/>
      <c r="O54" s="245"/>
      <c r="P54" s="245"/>
      <c r="Q54" s="245"/>
      <c r="R54" s="245"/>
      <c r="S54" s="245"/>
      <c r="T54" s="245"/>
      <c r="U54" s="245"/>
      <c r="V54" s="245"/>
      <c r="W54" s="245"/>
      <c r="X54" s="245"/>
      <c r="Y54" s="245"/>
      <c r="Z54" s="245"/>
      <c r="AA54" s="245"/>
      <c r="AB54" s="245"/>
    </row>
    <row r="55" spans="1:28" ht="12.75">
      <c r="A55" s="245"/>
      <c r="B55" s="245"/>
      <c r="C55" s="245"/>
      <c r="D55" s="245"/>
      <c r="E55" s="245"/>
      <c r="F55" s="245"/>
      <c r="G55" s="245"/>
      <c r="H55" s="245"/>
      <c r="I55" s="245"/>
      <c r="J55" s="245"/>
      <c r="K55" s="245"/>
      <c r="L55" s="245"/>
      <c r="M55" s="245"/>
      <c r="N55" s="245"/>
      <c r="O55" s="245"/>
      <c r="P55" s="245"/>
      <c r="Q55" s="245"/>
      <c r="R55" s="245"/>
      <c r="S55" s="245"/>
      <c r="T55" s="245"/>
      <c r="U55" s="245"/>
      <c r="V55" s="245"/>
      <c r="W55" s="245"/>
      <c r="X55" s="245"/>
      <c r="Y55" s="245"/>
      <c r="Z55" s="245"/>
      <c r="AA55" s="245"/>
      <c r="AB55" s="245"/>
    </row>
    <row r="56" spans="1:28" ht="12.75">
      <c r="A56" s="245"/>
      <c r="B56" s="245"/>
      <c r="C56" s="245"/>
      <c r="D56" s="245"/>
      <c r="E56" s="245"/>
      <c r="F56" s="245"/>
      <c r="G56" s="245"/>
      <c r="H56" s="245"/>
      <c r="I56" s="245"/>
      <c r="J56" s="245"/>
      <c r="K56" s="245"/>
      <c r="L56" s="245"/>
      <c r="M56" s="245"/>
      <c r="N56" s="245"/>
      <c r="O56" s="245"/>
      <c r="P56" s="245"/>
      <c r="Q56" s="245"/>
      <c r="R56" s="245"/>
      <c r="S56" s="245"/>
      <c r="T56" s="245"/>
      <c r="U56" s="245"/>
      <c r="V56" s="245"/>
      <c r="W56" s="245"/>
      <c r="X56" s="245"/>
      <c r="Y56" s="245"/>
      <c r="Z56" s="245"/>
      <c r="AA56" s="245"/>
      <c r="AB56" s="245"/>
    </row>
    <row r="57" spans="1:28" ht="12.75">
      <c r="A57" s="245"/>
      <c r="B57" s="245"/>
      <c r="C57" s="245"/>
      <c r="D57" s="245"/>
      <c r="E57" s="245"/>
      <c r="F57" s="245"/>
      <c r="G57" s="245"/>
      <c r="H57" s="245"/>
      <c r="I57" s="245"/>
      <c r="J57" s="245"/>
      <c r="K57" s="245"/>
      <c r="L57" s="245"/>
      <c r="M57" s="245"/>
      <c r="N57" s="245"/>
      <c r="O57" s="245"/>
      <c r="P57" s="245"/>
      <c r="Q57" s="245"/>
      <c r="R57" s="245"/>
      <c r="S57" s="245"/>
      <c r="T57" s="245"/>
      <c r="U57" s="245"/>
      <c r="V57" s="245"/>
      <c r="W57" s="245"/>
      <c r="X57" s="245"/>
      <c r="Y57" s="245"/>
      <c r="Z57" s="245"/>
      <c r="AA57" s="245"/>
      <c r="AB57" s="245"/>
    </row>
    <row r="58" spans="1:28" ht="12.75">
      <c r="A58" s="245"/>
      <c r="B58" s="245"/>
      <c r="C58" s="245"/>
      <c r="D58" s="245"/>
      <c r="E58" s="245"/>
      <c r="F58" s="245"/>
      <c r="G58" s="245"/>
      <c r="H58" s="245"/>
      <c r="I58" s="245"/>
      <c r="J58" s="245"/>
      <c r="K58" s="245"/>
      <c r="L58" s="245"/>
      <c r="M58" s="245"/>
      <c r="N58" s="245"/>
      <c r="O58" s="245"/>
      <c r="P58" s="245"/>
      <c r="Q58" s="245"/>
      <c r="R58" s="245"/>
      <c r="S58" s="245"/>
      <c r="T58" s="245"/>
      <c r="U58" s="245"/>
      <c r="V58" s="245"/>
      <c r="W58" s="245"/>
      <c r="X58" s="245"/>
      <c r="Y58" s="245"/>
      <c r="Z58" s="245"/>
      <c r="AA58" s="245"/>
      <c r="AB58" s="245"/>
    </row>
  </sheetData>
  <mergeCells count="13">
    <mergeCell ref="C12:D12"/>
    <mergeCell ref="C13:D13"/>
    <mergeCell ref="C14:D14"/>
    <mergeCell ref="C15:D15"/>
    <mergeCell ref="C19:D19"/>
    <mergeCell ref="C16:D16"/>
    <mergeCell ref="C17:D17"/>
    <mergeCell ref="C21:D21"/>
    <mergeCell ref="C20:D20"/>
    <mergeCell ref="C28:D28"/>
    <mergeCell ref="C29:D29"/>
    <mergeCell ref="C30:D30"/>
    <mergeCell ref="C22:D22"/>
  </mergeCells>
  <printOptions/>
  <pageMargins left="0.75" right="0.75" top="1" bottom="1" header="0.5" footer="0.5"/>
  <pageSetup orientation="portrait" paperSize="9"/>
  <drawing r:id="rId1"/>
</worksheet>
</file>

<file path=xl/worksheets/sheet6.xml><?xml version="1.0" encoding="utf-8"?>
<worksheet xmlns="http://schemas.openxmlformats.org/spreadsheetml/2006/main" xmlns:r="http://schemas.openxmlformats.org/officeDocument/2006/relationships">
  <dimension ref="A1:L116"/>
  <sheetViews>
    <sheetView zoomScale="75" zoomScaleNormal="75" workbookViewId="0" topLeftCell="A1">
      <selection activeCell="B15" sqref="B15"/>
    </sheetView>
  </sheetViews>
  <sheetFormatPr defaultColWidth="9.140625" defaultRowHeight="15.75" customHeight="1"/>
  <cols>
    <col min="1" max="1" width="57.421875" style="1" customWidth="1"/>
    <col min="2" max="2" width="11.421875" style="5" customWidth="1"/>
    <col min="3" max="3" width="3.421875" style="1" customWidth="1"/>
    <col min="4" max="4" width="14.57421875" style="1" customWidth="1"/>
    <col min="5" max="5" width="4.57421875" style="1" customWidth="1"/>
    <col min="6" max="6" width="14.8515625" style="5" customWidth="1"/>
    <col min="7" max="7" width="22.140625" style="6" customWidth="1"/>
    <col min="8" max="8" width="10.00390625" style="9" customWidth="1"/>
    <col min="9" max="9" width="8.421875" style="1" customWidth="1"/>
    <col min="10" max="10" width="32.7109375" style="1" customWidth="1"/>
    <col min="11" max="11" width="12.7109375" style="1" bestFit="1" customWidth="1"/>
    <col min="12" max="12" width="13.7109375" style="1" customWidth="1"/>
    <col min="13" max="16384" width="11.421875" style="1" customWidth="1"/>
  </cols>
  <sheetData>
    <row r="1" spans="1:8" s="78" customFormat="1" ht="33.75" customHeight="1">
      <c r="A1" s="280" t="s">
        <v>483</v>
      </c>
      <c r="B1" s="268"/>
      <c r="C1" s="268"/>
      <c r="D1" s="268"/>
      <c r="E1" s="268"/>
      <c r="F1" s="268"/>
      <c r="G1" s="268"/>
      <c r="H1" s="268"/>
    </row>
    <row r="2" ht="30.75" customHeight="1">
      <c r="A2" s="28" t="s">
        <v>99</v>
      </c>
    </row>
    <row r="3" spans="1:8" ht="31.5" customHeight="1">
      <c r="A3" s="12" t="s">
        <v>7</v>
      </c>
      <c r="B3" s="58"/>
      <c r="C3" s="58"/>
      <c r="D3" s="58"/>
      <c r="E3" s="58"/>
      <c r="F3" s="58"/>
      <c r="G3" s="58"/>
      <c r="H3" s="12"/>
    </row>
    <row r="4" ht="33.75" customHeight="1">
      <c r="A4" s="29" t="s">
        <v>100</v>
      </c>
    </row>
    <row r="5" spans="1:11" ht="21" customHeight="1">
      <c r="A5" s="2" t="s">
        <v>138</v>
      </c>
      <c r="C5" s="4"/>
      <c r="D5" s="2" t="s">
        <v>9</v>
      </c>
      <c r="G5" s="7" t="s">
        <v>0</v>
      </c>
      <c r="H5" s="10" t="s">
        <v>15</v>
      </c>
      <c r="J5" s="1" t="s">
        <v>137</v>
      </c>
      <c r="K5" s="6">
        <f>1024*1024*1024</f>
        <v>1073741824</v>
      </c>
    </row>
    <row r="6" spans="1:11" s="26" customFormat="1" ht="21" customHeight="1">
      <c r="A6" s="8" t="s">
        <v>139</v>
      </c>
      <c r="B6" s="69"/>
      <c r="C6" s="11"/>
      <c r="D6" s="8"/>
      <c r="F6" s="69"/>
      <c r="G6" s="7"/>
      <c r="H6" s="10"/>
      <c r="J6" s="1" t="s">
        <v>157</v>
      </c>
      <c r="K6" s="6">
        <f>AnzProdAufträge*AnzKomponenten</f>
        <v>0</v>
      </c>
    </row>
    <row r="7" spans="1:11" ht="15.75" customHeight="1">
      <c r="A7" s="1" t="s">
        <v>8</v>
      </c>
      <c r="B7" s="30">
        <f>'Quantity-Structured'!D22</f>
        <v>0</v>
      </c>
      <c r="C7" s="3"/>
      <c r="D7" s="59" t="s">
        <v>329</v>
      </c>
      <c r="E7" s="59"/>
      <c r="F7" s="59"/>
      <c r="G7" s="60">
        <f>AnzRessourcen*(ResourceP+AntResBewertungen*AnzResBewertungen*ValuationEntryP+AntBucketRes*MAX(OmsVarObject,AnzResBuckets*OID))+BelegungenBytes</f>
        <v>0</v>
      </c>
      <c r="H7" s="61">
        <f>G7/GB</f>
        <v>0</v>
      </c>
      <c r="J7" s="1" t="s">
        <v>158</v>
      </c>
      <c r="K7" s="5">
        <f>AnzProdAufträge</f>
        <v>0</v>
      </c>
    </row>
    <row r="8" spans="1:12" ht="15.75" customHeight="1">
      <c r="A8" s="1" t="s">
        <v>153</v>
      </c>
      <c r="B8" s="79">
        <v>0.1</v>
      </c>
      <c r="C8" s="3"/>
      <c r="D8" s="46"/>
      <c r="E8" s="46"/>
      <c r="F8" s="46"/>
      <c r="G8" s="65"/>
      <c r="H8" s="66"/>
      <c r="J8" s="1" t="s">
        <v>142</v>
      </c>
      <c r="K8" s="6">
        <f>AnzProdAufträge*AnzAVO</f>
        <v>0</v>
      </c>
      <c r="L8" s="5"/>
    </row>
    <row r="9" spans="1:12" ht="15.75" customHeight="1">
      <c r="A9" s="1" t="s">
        <v>154</v>
      </c>
      <c r="B9" s="80">
        <v>10</v>
      </c>
      <c r="C9" s="3"/>
      <c r="D9" s="46"/>
      <c r="E9" s="46"/>
      <c r="F9" s="46"/>
      <c r="G9" s="65"/>
      <c r="H9" s="66"/>
      <c r="J9" s="1" t="s">
        <v>168</v>
      </c>
      <c r="K9" s="6">
        <f>SummeAVOs*AnzSegmente</f>
        <v>0</v>
      </c>
      <c r="L9" s="5"/>
    </row>
    <row r="10" spans="1:11" ht="15.75" customHeight="1">
      <c r="A10" s="1" t="s">
        <v>40</v>
      </c>
      <c r="B10" s="74">
        <f>AnzRessourcen</f>
        <v>0</v>
      </c>
      <c r="C10" s="3"/>
      <c r="D10" s="59" t="s">
        <v>46</v>
      </c>
      <c r="E10" s="59"/>
      <c r="F10" s="59"/>
      <c r="G10" s="60">
        <f>AnzZeitstrahle*TimeLineObjectP</f>
        <v>0</v>
      </c>
      <c r="H10" s="61">
        <f>G10/GB</f>
        <v>0</v>
      </c>
      <c r="J10" s="1" t="s">
        <v>143</v>
      </c>
      <c r="K10" s="6">
        <f>SummeAVOs*AnzahlConstraints</f>
        <v>0</v>
      </c>
    </row>
    <row r="11" spans="1:12" ht="15.75" customHeight="1">
      <c r="A11" s="1" t="s">
        <v>41</v>
      </c>
      <c r="B11" s="74">
        <f>2*365*5</f>
        <v>3650</v>
      </c>
      <c r="C11" s="3"/>
      <c r="D11" s="59" t="s">
        <v>51</v>
      </c>
      <c r="E11" s="59"/>
      <c r="F11" s="59"/>
      <c r="G11" s="60">
        <f>AnzZeitscheiben*AnzZeitstrahle*TimeLineItemP</f>
        <v>0</v>
      </c>
      <c r="H11" s="61">
        <f>G11/GB</f>
        <v>0</v>
      </c>
      <c r="J11" s="1" t="s">
        <v>144</v>
      </c>
      <c r="K11" s="6">
        <f>SummeSegmente*AnzModi*AnzBeleger</f>
        <v>0</v>
      </c>
      <c r="L11" s="5"/>
    </row>
    <row r="12" spans="1:12" ht="15.75" customHeight="1">
      <c r="A12" s="1" t="s">
        <v>316</v>
      </c>
      <c r="B12" s="79">
        <v>0.2</v>
      </c>
      <c r="C12" s="3"/>
      <c r="D12" s="3"/>
      <c r="E12" s="3"/>
      <c r="F12" s="3"/>
      <c r="G12" s="3"/>
      <c r="H12" s="3"/>
      <c r="J12" s="1" t="s">
        <v>145</v>
      </c>
      <c r="K12" s="6">
        <f>SummeSegmente*AnzBeleger</f>
        <v>0</v>
      </c>
      <c r="L12" s="5"/>
    </row>
    <row r="13" spans="1:12" ht="15.75" customHeight="1">
      <c r="A13" s="1" t="s">
        <v>317</v>
      </c>
      <c r="B13" s="105" t="s">
        <v>319</v>
      </c>
      <c r="C13" s="3"/>
      <c r="D13" s="59" t="s">
        <v>318</v>
      </c>
      <c r="E13" s="59"/>
      <c r="F13" s="59"/>
      <c r="G13" s="60">
        <f>AnzRessourcen*AntBucketRes*AnzResBuckets*BucketP</f>
        <v>0</v>
      </c>
      <c r="H13" s="61">
        <f>G13/GB</f>
        <v>0</v>
      </c>
      <c r="L13" s="5"/>
    </row>
    <row r="14" spans="1:12" ht="15.75" customHeight="1">
      <c r="A14" s="1" t="s">
        <v>324</v>
      </c>
      <c r="B14" s="79">
        <v>0.1</v>
      </c>
      <c r="C14" s="3"/>
      <c r="D14" s="59" t="s">
        <v>321</v>
      </c>
      <c r="E14" s="59"/>
      <c r="F14" s="59"/>
      <c r="G14" s="60">
        <f>AnzRessourcen*AntStorageRes*StorageP</f>
        <v>0</v>
      </c>
      <c r="H14" s="61">
        <f>G14/GB</f>
        <v>0</v>
      </c>
      <c r="J14" s="87" t="s">
        <v>150</v>
      </c>
      <c r="K14" s="88" t="s">
        <v>151</v>
      </c>
      <c r="L14" s="88" t="s">
        <v>0</v>
      </c>
    </row>
    <row r="15" spans="1:12" ht="15.75" customHeight="1">
      <c r="A15" s="1" t="s">
        <v>55</v>
      </c>
      <c r="B15" s="30">
        <f>IF('Quantity-Structured'!D20&gt;0,'Quantity-Structured'!D20,1)</f>
        <v>1</v>
      </c>
      <c r="C15" s="3"/>
      <c r="D15" s="59" t="s">
        <v>49</v>
      </c>
      <c r="E15" s="59"/>
      <c r="F15" s="59"/>
      <c r="G15" s="60">
        <f>AnzPegAreas*PegAreaP</f>
        <v>276</v>
      </c>
      <c r="H15" s="61">
        <f>G15/GB</f>
        <v>2.5704503059387207E-07</v>
      </c>
      <c r="J15" s="89" t="s">
        <v>146</v>
      </c>
      <c r="K15" s="90">
        <f>AnzLagerbestände*AnzBestandsPos+AnzBestellungen*AnzBestEinteilungen+AnzKDAufträge*AnzKDEinteilungen+AnzTransporte*AnzTransEinteilungen+AnzProdAufträge</f>
        <v>0</v>
      </c>
      <c r="L15" s="91">
        <f>GesZahlOrders*OrderP</f>
        <v>0</v>
      </c>
    </row>
    <row r="16" spans="1:12" s="71" customFormat="1" ht="21" customHeight="1">
      <c r="A16" s="71" t="s">
        <v>140</v>
      </c>
      <c r="B16" s="77"/>
      <c r="C16" s="70"/>
      <c r="G16" s="72"/>
      <c r="H16" s="73"/>
      <c r="J16" s="89" t="s">
        <v>147</v>
      </c>
      <c r="K16" s="90">
        <f>AnzLagerbestände*AnzBestandsPos+AnzBestellungen*AnzBestEinteilungen+AnzKDAufträge*AnzKDEinteilungen+AnzTransporte*AnzTransEinteilungen+SummeSegmente</f>
        <v>0</v>
      </c>
      <c r="L16" s="91">
        <f>GesZahlSegments*SegmentP</f>
        <v>0</v>
      </c>
    </row>
    <row r="17" spans="1:12" s="52" customFormat="1" ht="15.75" customHeight="1">
      <c r="A17" s="52" t="s">
        <v>156</v>
      </c>
      <c r="B17" s="84">
        <f>'Quantity-Structured'!D21</f>
        <v>0</v>
      </c>
      <c r="C17" s="81"/>
      <c r="G17" s="82"/>
      <c r="H17" s="83"/>
      <c r="J17" s="89" t="s">
        <v>148</v>
      </c>
      <c r="K17" s="90">
        <f>SummeModeItems</f>
        <v>0</v>
      </c>
      <c r="L17" s="91">
        <f>GesZahlModeItems*PersModeInfoP</f>
        <v>0</v>
      </c>
    </row>
    <row r="18" spans="1:12" s="52" customFormat="1" ht="15.75" customHeight="1">
      <c r="A18" s="52" t="s">
        <v>162</v>
      </c>
      <c r="B18" s="85">
        <v>5</v>
      </c>
      <c r="C18" s="81"/>
      <c r="G18" s="82"/>
      <c r="H18" s="83"/>
      <c r="J18" s="89" t="s">
        <v>149</v>
      </c>
      <c r="K18" s="90">
        <f>SummeConstraints</f>
        <v>0</v>
      </c>
      <c r="L18" s="91">
        <f>GesZahlConstraints*ConstraintP</f>
        <v>0</v>
      </c>
    </row>
    <row r="19" spans="1:12" s="52" customFormat="1" ht="15.75" customHeight="1">
      <c r="A19" s="52" t="s">
        <v>163</v>
      </c>
      <c r="B19" s="85">
        <v>1</v>
      </c>
      <c r="C19" s="81"/>
      <c r="G19" s="82"/>
      <c r="H19" s="83"/>
      <c r="J19" s="89" t="s">
        <v>160</v>
      </c>
      <c r="K19" s="89">
        <f>SummeSegmente*AntResBewertungen*AnzResBewertungen+SummeIoKnoten*AntIoMerkmale*AnzIoMerkmale</f>
        <v>0</v>
      </c>
      <c r="L19" s="91">
        <f>GesZahlContrEntries*ConstraintEntryP</f>
        <v>0</v>
      </c>
    </row>
    <row r="20" spans="1:12" ht="15.75" customHeight="1">
      <c r="A20" s="1" t="s">
        <v>78</v>
      </c>
      <c r="B20" s="30">
        <f>'Quantity-Structured'!D19</f>
        <v>0</v>
      </c>
      <c r="C20" s="3"/>
      <c r="D20" s="59" t="s">
        <v>79</v>
      </c>
      <c r="E20" s="59"/>
      <c r="F20" s="59"/>
      <c r="G20" s="60">
        <f>AnzLagerbestände*(OrderP+AnzBestandsPos*(PersIoNodeBestandP+AntIoMerkmale*MAX(OmsVarObject,AnzIoMerkmale*ValuationEntryP)+SegmentP+OrderP))</f>
        <v>0</v>
      </c>
      <c r="H20" s="61">
        <f>G20/GB</f>
        <v>0</v>
      </c>
      <c r="J20" s="89" t="s">
        <v>161</v>
      </c>
      <c r="K20" s="89">
        <f>AnzRessourcen*AntResBewertungen*AnzResBewertungen++SummeOutKnoten*AntIoMerkmale*AnzIoMerkmale</f>
        <v>0</v>
      </c>
      <c r="L20" s="91">
        <f>GesZahlValuations*ValuationEntryP</f>
        <v>0</v>
      </c>
    </row>
    <row r="21" spans="1:12" ht="15.75" customHeight="1">
      <c r="A21" s="1" t="s">
        <v>136</v>
      </c>
      <c r="B21" s="92">
        <v>1</v>
      </c>
      <c r="C21" s="3"/>
      <c r="D21" s="46"/>
      <c r="E21" s="46"/>
      <c r="F21" s="46"/>
      <c r="G21" s="65"/>
      <c r="H21" s="66"/>
      <c r="J21" s="89" t="s">
        <v>184</v>
      </c>
      <c r="K21" s="90">
        <f>AnzLagerbestände*AnzBestandsPos</f>
        <v>0</v>
      </c>
      <c r="L21" s="91">
        <f>AnzIoNodeBestand*PersIoNodeBestandP</f>
        <v>0</v>
      </c>
    </row>
    <row r="22" spans="1:12" ht="15.75" customHeight="1">
      <c r="A22" s="1" t="s">
        <v>38</v>
      </c>
      <c r="B22" s="30">
        <f>'Quantity-Structured'!D26</f>
        <v>0</v>
      </c>
      <c r="C22" s="3"/>
      <c r="D22" s="59" t="s">
        <v>42</v>
      </c>
      <c r="E22" s="59"/>
      <c r="F22" s="59"/>
      <c r="G22" s="60">
        <f>AnzBestellungen*(OrderP+AnzBestEinteilungen*(PersIoNodeBestellungP+AntIoMerkmale*MAX(OmsVarObject,AnzIoMerkmale*ValuationEntryP)+SegmentP+OrderP))</f>
        <v>0</v>
      </c>
      <c r="H22" s="61">
        <f>G22/GB</f>
        <v>0</v>
      </c>
      <c r="J22" s="89" t="s">
        <v>183</v>
      </c>
      <c r="K22" s="90">
        <f>AnzKDAufträge*AnzKDEinteilungen</f>
        <v>0</v>
      </c>
      <c r="L22" s="91">
        <f>AnzIoNodeKundenKlein*PersIoNodeKundeKP</f>
        <v>0</v>
      </c>
    </row>
    <row r="23" spans="1:12" ht="15.75" customHeight="1">
      <c r="A23" s="1" t="s">
        <v>180</v>
      </c>
      <c r="B23" s="92">
        <f>'Quantity-Structured'!D27</f>
        <v>0</v>
      </c>
      <c r="C23" s="3"/>
      <c r="F23" s="1"/>
      <c r="G23" s="1"/>
      <c r="H23" s="1"/>
      <c r="J23" s="89" t="s">
        <v>193</v>
      </c>
      <c r="K23" s="90">
        <f>AnzKDAufträge*AnzKDEinteilungenGross</f>
        <v>0</v>
      </c>
      <c r="L23" s="91">
        <f>AnzIoNodeKundenGross*PersIoNodeKundeGP</f>
        <v>0</v>
      </c>
    </row>
    <row r="24" spans="1:12" ht="15.75" customHeight="1">
      <c r="A24" s="1" t="s">
        <v>32</v>
      </c>
      <c r="B24" s="30">
        <f>'Quantity-Structured'!D24</f>
        <v>0</v>
      </c>
      <c r="C24" s="3"/>
      <c r="D24" s="59" t="s">
        <v>43</v>
      </c>
      <c r="E24" s="59"/>
      <c r="F24" s="59"/>
      <c r="G24" s="60">
        <f>AnzKDAufträge*(OrderP+AnzKDEinteilungen*(PersIoNodeKundeKP+AntIoMerkmale*MAX(OmsVarObject,AnzIoMerkmale*AnzAnforderungen*ConstraintEntryP)+SegmentP+OrderP)+AnzKDEinteilungenGross*(PersIoNodeKundeGP+AntIoMerkmale*MAX(OmsVarObject,AnzIoMerkmale*AnzAnforderungen*ConstraintEntryP)+SegmentP+OrderP))</f>
        <v>0</v>
      </c>
      <c r="H24" s="61">
        <f>G24/GB</f>
        <v>0</v>
      </c>
      <c r="J24" s="89" t="s">
        <v>198</v>
      </c>
      <c r="K24" s="90">
        <f>AnzVorplanungsauftraege*AnzVpEinteilungen</f>
        <v>0</v>
      </c>
      <c r="L24" s="91">
        <f>AnzIoNodeVorplan*PersIoNodeVorplanungP</f>
        <v>0</v>
      </c>
    </row>
    <row r="25" spans="1:12" ht="15.75" customHeight="1">
      <c r="A25" s="1" t="s">
        <v>181</v>
      </c>
      <c r="B25" s="30">
        <f>'Quantity-Structured'!D25*0.7</f>
        <v>0</v>
      </c>
      <c r="C25" s="3"/>
      <c r="F25" s="1"/>
      <c r="G25" s="1"/>
      <c r="H25" s="1"/>
      <c r="J25" s="89" t="s">
        <v>197</v>
      </c>
      <c r="K25" s="90">
        <f>AnzSnpAuftraege*AnzSnpEinteilungen</f>
        <v>0</v>
      </c>
      <c r="L25" s="91">
        <f>AnzIoNodeSnp*PersIoNodeVorplanungP</f>
        <v>0</v>
      </c>
    </row>
    <row r="26" spans="1:12" ht="15.75" customHeight="1">
      <c r="A26" s="1" t="s">
        <v>182</v>
      </c>
      <c r="B26" s="30">
        <f>'Quantity-Structured'!D25*0.3</f>
        <v>0</v>
      </c>
      <c r="C26" s="3"/>
      <c r="F26" s="1"/>
      <c r="G26" s="1"/>
      <c r="H26" s="1"/>
      <c r="J26" s="89" t="s">
        <v>185</v>
      </c>
      <c r="K26" s="96">
        <f>AnzBestellungen*AnzBestEinteilungen</f>
        <v>0</v>
      </c>
      <c r="L26" s="96">
        <f>AnzIoNodeBestellung*PersIoNodeBestellungP</f>
        <v>0</v>
      </c>
    </row>
    <row r="27" spans="1:12" ht="15.75" customHeight="1">
      <c r="A27" s="1" t="s">
        <v>36</v>
      </c>
      <c r="B27" s="30">
        <f>'Quantity-Structured'!D28</f>
        <v>0</v>
      </c>
      <c r="C27" s="3"/>
      <c r="D27" s="59" t="s">
        <v>44</v>
      </c>
      <c r="E27" s="59"/>
      <c r="F27" s="59"/>
      <c r="G27" s="60">
        <f>AnzTransporte*(OrderP+AnzTransEinteilungen*(PersIoNodeTransportInP+PersIoNodeTransportOutP+AntIoMerkmale*MAX(OmsVarObject,AnzIoMerkmale*ValuationEntryP)+AntIoMerkmale*MAX(OmsVarObject,AnzIoMerkmale*AnzAnforderungen*ConstraintEntryP)+SegmentP+OrderP))</f>
        <v>0</v>
      </c>
      <c r="H27" s="61">
        <f>G27/GB</f>
        <v>0</v>
      </c>
      <c r="J27" s="89" t="s">
        <v>186</v>
      </c>
      <c r="K27" s="91">
        <f>AnzTransporte*AnzTransEinteilungen</f>
        <v>0</v>
      </c>
      <c r="L27" s="91">
        <f>AnzIoNodeTransportIn*PersIoNodeTransportInP</f>
        <v>0</v>
      </c>
    </row>
    <row r="28" spans="1:12" ht="15.75" customHeight="1">
      <c r="A28" s="1" t="s">
        <v>37</v>
      </c>
      <c r="B28" s="92">
        <f>'Quantity-Structured'!D29</f>
        <v>0</v>
      </c>
      <c r="C28" s="3"/>
      <c r="F28" s="1"/>
      <c r="G28" s="1"/>
      <c r="H28" s="1"/>
      <c r="J28" s="89" t="s">
        <v>187</v>
      </c>
      <c r="K28" s="91">
        <f>AnzTransporte*AnzTransEinteilungen</f>
        <v>0</v>
      </c>
      <c r="L28" s="91">
        <f>AnzIoNodeTransportOut*PersIoNodeTransportOutP</f>
        <v>0</v>
      </c>
    </row>
    <row r="29" spans="1:12" ht="15.75" customHeight="1">
      <c r="A29" s="1" t="s">
        <v>33</v>
      </c>
      <c r="B29" s="31">
        <f>'Quantity-Structured'!D36</f>
        <v>0</v>
      </c>
      <c r="C29" s="3"/>
      <c r="D29" s="59" t="s">
        <v>45</v>
      </c>
      <c r="E29" s="59"/>
      <c r="F29" s="59"/>
      <c r="G29" s="62">
        <f>AnzProdAufträge*OrderP+SummeIoKnoten*(PersIoNodeProduktionInGP+AntIoMerkmale*MAX(OmsVarObject,AnzIoMerkmale*AnzAnforderungen*ConstraintEntryP))+SummeOutKnoten*(PersIoNodeProduktionOutP+AntIoMerkmale*MAX(OmsVarObject,AnzIoMerkmale*ValuationEntryP))+SummeSegmente*(SegmentP+MAX(OmsVarObject,AnzModi*AnzBeleger*PersModeInfoP)+MAX(OmsVarObject,AntResBewertungen*AnzResBewertungen*ConstraintEntryP)+AnzStorageNodes*(PersIoNodeStorageP+MAX(OmsVarObject,AnzModi*PersStorageModeItemP)))+SummeConstraints*ConstraintP</f>
        <v>0</v>
      </c>
      <c r="H29" s="61">
        <f>G29/GB</f>
        <v>0</v>
      </c>
      <c r="J29" s="89" t="s">
        <v>188</v>
      </c>
      <c r="K29" s="91">
        <f>AnzProdAufträge</f>
        <v>0</v>
      </c>
      <c r="L29" s="91">
        <f>AnzIoNodeProduktionOut*PersIoNodeProduktionOutP</f>
        <v>0</v>
      </c>
    </row>
    <row r="30" spans="1:12" ht="15.75" customHeight="1">
      <c r="A30" s="1" t="s">
        <v>34</v>
      </c>
      <c r="B30" s="93">
        <f>'Quantity-Structured'!D37</f>
        <v>0</v>
      </c>
      <c r="C30" s="3"/>
      <c r="F30" s="1"/>
      <c r="J30" s="89" t="s">
        <v>189</v>
      </c>
      <c r="K30" s="91">
        <v>0</v>
      </c>
      <c r="L30" s="91">
        <f>AnzIoNodeProduktionInKlein*PersIoNodeProduktionInKP</f>
        <v>0</v>
      </c>
    </row>
    <row r="31" spans="1:12" ht="15.75" customHeight="1">
      <c r="A31" s="1" t="s">
        <v>35</v>
      </c>
      <c r="B31" s="32">
        <f>'Quantity-Structured'!D38</f>
        <v>0</v>
      </c>
      <c r="C31" s="3"/>
      <c r="F31" s="1"/>
      <c r="H31" s="1"/>
      <c r="J31" s="89" t="s">
        <v>190</v>
      </c>
      <c r="K31" s="91">
        <v>0</v>
      </c>
      <c r="L31" s="91">
        <f>AnzIoNodeProduktionInMittel*PersIoNodeProduktionInMP</f>
        <v>0</v>
      </c>
    </row>
    <row r="32" spans="1:12" ht="15.75" customHeight="1">
      <c r="A32" s="1" t="s">
        <v>167</v>
      </c>
      <c r="B32" s="33">
        <f>'Quantity-Structured'!D39</f>
        <v>0</v>
      </c>
      <c r="C32" s="3"/>
      <c r="F32" s="1"/>
      <c r="J32" s="89" t="s">
        <v>191</v>
      </c>
      <c r="K32" s="91">
        <f>AnzProdAufträge*AnzKomponenten</f>
        <v>0</v>
      </c>
      <c r="L32" s="91">
        <f>AnzIoNodeProduktionInGross*PersIoNodeProduktionInGP</f>
        <v>0</v>
      </c>
    </row>
    <row r="33" spans="1:12" ht="15.75" customHeight="1">
      <c r="A33" s="1" t="s">
        <v>39</v>
      </c>
      <c r="B33" s="32">
        <v>1.5</v>
      </c>
      <c r="C33" s="3"/>
      <c r="F33" s="1"/>
      <c r="J33" s="89" t="s">
        <v>325</v>
      </c>
      <c r="K33" s="91">
        <f>SummeSegmente*AnzStorageNodes</f>
        <v>0</v>
      </c>
      <c r="L33" s="91">
        <f>AnzStorageNodesProduktion*(PersIoNodeStorageP+MAX(OmsVarObject,AnzModi*PersStorageModeItemP))</f>
        <v>0</v>
      </c>
    </row>
    <row r="34" spans="1:12" ht="15.75" customHeight="1">
      <c r="A34" s="1" t="s">
        <v>165</v>
      </c>
      <c r="B34" s="32">
        <v>1.5</v>
      </c>
      <c r="C34" s="3"/>
      <c r="F34" s="1"/>
      <c r="J34" s="89" t="s">
        <v>201</v>
      </c>
      <c r="K34" s="91">
        <v>0</v>
      </c>
      <c r="L34" s="91">
        <f>AnzIoNodeSUA*PersIoNodeSubstitutionP</f>
        <v>0</v>
      </c>
    </row>
    <row r="35" spans="1:12" ht="15.75" customHeight="1">
      <c r="A35" s="1" t="s">
        <v>166</v>
      </c>
      <c r="B35" s="32">
        <v>1.5</v>
      </c>
      <c r="C35" s="3"/>
      <c r="F35" s="1"/>
      <c r="J35" s="89" t="s">
        <v>202</v>
      </c>
      <c r="K35" s="91">
        <v>0</v>
      </c>
      <c r="L35" s="91">
        <f>AnzIoNodeSUAOut*PersIoNodeSubstitutionP</f>
        <v>0</v>
      </c>
    </row>
    <row r="36" spans="1:12" ht="15.75" customHeight="1">
      <c r="A36" s="1" t="s">
        <v>323</v>
      </c>
      <c r="B36" s="32">
        <v>0.2</v>
      </c>
      <c r="C36" s="3"/>
      <c r="F36" s="1"/>
      <c r="J36" s="89" t="s">
        <v>192</v>
      </c>
      <c r="K36" s="91">
        <v>0</v>
      </c>
      <c r="L36" s="91">
        <f>AnzIoNodeMPA*PersIoNodeMPAP</f>
        <v>0</v>
      </c>
    </row>
    <row r="37" spans="1:12" ht="15.75" customHeight="1">
      <c r="A37" s="1" t="s">
        <v>195</v>
      </c>
      <c r="B37" s="94">
        <f>'Quantity-Structured'!D30</f>
        <v>0</v>
      </c>
      <c r="C37" s="3"/>
      <c r="D37" s="59" t="s">
        <v>174</v>
      </c>
      <c r="E37" s="59"/>
      <c r="F37" s="59"/>
      <c r="G37" s="60">
        <f>AnzVorplanungsauftraege*(OrderP+AnzVpEinteilungen*(PersIoNodeVorplanungP+SegmentP+OrderP))</f>
        <v>0</v>
      </c>
      <c r="H37" s="61">
        <f>G37/GB</f>
        <v>0</v>
      </c>
      <c r="J37" s="89" t="s">
        <v>199</v>
      </c>
      <c r="K37" s="91">
        <f>AnzIoNodeKundenKlein+AnzIoNodeKundenGross+AnzIoNodeTransportIn+AnzIoNodeProduktionInKlein+AnzIoNodeProduktionInMittel+AnzIoNodeProduktionInGross+AnzIoNodeSUA</f>
        <v>0</v>
      </c>
      <c r="L37" s="46"/>
    </row>
    <row r="38" spans="1:12" ht="15.75" customHeight="1">
      <c r="A38" s="1" t="s">
        <v>196</v>
      </c>
      <c r="B38" s="32">
        <f>'Quantity-Structured'!D31</f>
        <v>0</v>
      </c>
      <c r="C38" s="3"/>
      <c r="F38" s="1"/>
      <c r="J38" s="89" t="s">
        <v>200</v>
      </c>
      <c r="K38" s="90">
        <f>AnzIoNodeBestand+AnzIoNodeVorplan+AnzIoNodeSnp+AnzIoNodeBestellung+AnzIoNodeTransportOut+AnzIoNodeProduktionOut+AnzIoNodeSUAOut+AnzIoNodeMPA</f>
        <v>0</v>
      </c>
      <c r="L38" s="95"/>
    </row>
    <row r="39" spans="1:11" ht="15.75" customHeight="1">
      <c r="A39" s="1" t="s">
        <v>173</v>
      </c>
      <c r="B39" s="94">
        <f>'Quantity-Structured'!D32</f>
        <v>0</v>
      </c>
      <c r="C39" s="3"/>
      <c r="D39" s="59" t="s">
        <v>175</v>
      </c>
      <c r="E39" s="59"/>
      <c r="F39" s="59"/>
      <c r="G39" s="60">
        <f>AnzSnpAuftraege*(OrderP+AnzSnpEinteilungen*(PersIoNodeVorplanungP+SegmentP+OrderP))</f>
        <v>0</v>
      </c>
      <c r="H39" s="61">
        <f>G39/GB</f>
        <v>0</v>
      </c>
      <c r="J39" s="89" t="s">
        <v>326</v>
      </c>
      <c r="K39" s="90">
        <f>AnzStorageNodesProduktion</f>
        <v>0</v>
      </c>
    </row>
    <row r="40" spans="1:12" ht="15.75" customHeight="1">
      <c r="A40" s="1" t="s">
        <v>194</v>
      </c>
      <c r="B40" s="32">
        <f>'Quantity-Structured'!D33+'Quantity-Structured'!D34*'Quantity-Structured'!D35</f>
        <v>0</v>
      </c>
      <c r="C40" s="3"/>
      <c r="F40" s="1"/>
      <c r="G40" s="1"/>
      <c r="H40" s="1"/>
      <c r="J40" s="89" t="s">
        <v>328</v>
      </c>
      <c r="K40" s="90">
        <f>SummeSegmente*AnzBeleger</f>
        <v>0</v>
      </c>
      <c r="L40" s="91">
        <f>SummeBelegungen*PEveBelegung</f>
        <v>0</v>
      </c>
    </row>
    <row r="41" spans="1:8" s="71" customFormat="1" ht="21" customHeight="1">
      <c r="A41" s="71" t="s">
        <v>141</v>
      </c>
      <c r="B41" s="76"/>
      <c r="C41" s="70"/>
      <c r="G41" s="72"/>
      <c r="H41" s="73"/>
    </row>
    <row r="42" spans="1:8" ht="15.75" customHeight="1">
      <c r="A42" s="17" t="s">
        <v>155</v>
      </c>
      <c r="B42" s="34">
        <v>0.1</v>
      </c>
      <c r="C42" s="3"/>
      <c r="D42" s="59" t="s">
        <v>47</v>
      </c>
      <c r="E42" s="59"/>
      <c r="F42" s="59"/>
      <c r="G42" s="60">
        <f>ProzHardPegKanten*MAX(AnzInputKnoten,AnzOutputKnoten)*PegArcFixP</f>
        <v>0</v>
      </c>
      <c r="H42" s="61">
        <f>G42/GB</f>
        <v>0</v>
      </c>
    </row>
    <row r="43" spans="1:8" ht="15.75" customHeight="1">
      <c r="A43" s="17" t="s">
        <v>169</v>
      </c>
      <c r="B43" s="75">
        <f>100%-ProzHardPegKanten</f>
        <v>0.9</v>
      </c>
      <c r="C43" s="3"/>
      <c r="D43" s="59" t="s">
        <v>48</v>
      </c>
      <c r="E43" s="59"/>
      <c r="F43" s="59"/>
      <c r="G43" s="60">
        <f>ProzSoftPegKanten*MAX(AnzInputKnoten,AnzOutputKnoten)*PegArcDynDP</f>
        <v>0</v>
      </c>
      <c r="H43" s="61">
        <f>G43/GB</f>
        <v>0</v>
      </c>
    </row>
    <row r="44" spans="2:6" ht="15.75" customHeight="1">
      <c r="B44" s="74"/>
      <c r="C44" s="3"/>
      <c r="F44" s="1"/>
    </row>
    <row r="45" spans="3:8" ht="15.75" customHeight="1">
      <c r="C45" s="3"/>
      <c r="D45" s="63" t="s">
        <v>52</v>
      </c>
      <c r="E45" s="59"/>
      <c r="F45" s="59"/>
      <c r="G45" s="13">
        <f>(G7+G10+G11+G13+G14+G15+G20+G22+G24+G27+G29+G37+G39+G42+G43)*'Quantity-Structured'!D40</f>
        <v>0</v>
      </c>
      <c r="H45" s="64">
        <f>G45/GB</f>
        <v>0</v>
      </c>
    </row>
    <row r="46" spans="3:8" ht="15.75" customHeight="1">
      <c r="C46" s="3"/>
      <c r="D46" s="8"/>
      <c r="F46" s="1"/>
      <c r="G46" s="7"/>
      <c r="H46" s="10"/>
    </row>
    <row r="47" spans="2:8" ht="15.75" customHeight="1">
      <c r="B47" s="1"/>
      <c r="C47" s="3"/>
      <c r="D47" s="26"/>
      <c r="F47" s="1"/>
      <c r="G47" s="7"/>
      <c r="H47" s="10"/>
    </row>
    <row r="48" spans="2:3" ht="15.75" customHeight="1">
      <c r="B48" s="1"/>
      <c r="C48" s="3"/>
    </row>
    <row r="49" ht="18" customHeight="1">
      <c r="C49" s="3"/>
    </row>
    <row r="50" spans="1:8" ht="18" customHeight="1">
      <c r="A50" s="2" t="s">
        <v>77</v>
      </c>
      <c r="B50" s="42"/>
      <c r="C50" s="4"/>
      <c r="D50" s="2" t="s">
        <v>10</v>
      </c>
      <c r="E50" s="39"/>
      <c r="F50" s="41"/>
      <c r="G50" s="67"/>
      <c r="H50" s="68"/>
    </row>
    <row r="51" spans="1:8" s="39" customFormat="1" ht="15.75" customHeight="1">
      <c r="A51" s="1" t="s">
        <v>66</v>
      </c>
      <c r="B51" s="5">
        <f>AnzPegAreas</f>
        <v>1</v>
      </c>
      <c r="C51" s="3"/>
      <c r="D51" s="59" t="s">
        <v>67</v>
      </c>
      <c r="E51" s="59"/>
      <c r="F51" s="62"/>
      <c r="G51" s="60">
        <f>ATP_AnzAnker*ATP_AnkerP</f>
        <v>92</v>
      </c>
      <c r="H51" s="61">
        <f>G51/GB</f>
        <v>8.568167686462402E-08</v>
      </c>
    </row>
    <row r="52" spans="1:8" ht="15.75" customHeight="1">
      <c r="A52" s="1" t="s">
        <v>79</v>
      </c>
      <c r="B52" s="5">
        <f>AnzLagerbestände</f>
        <v>0</v>
      </c>
      <c r="C52" s="3"/>
      <c r="D52" s="59" t="s">
        <v>68</v>
      </c>
      <c r="E52" s="59"/>
      <c r="F52" s="62"/>
      <c r="G52" s="60">
        <f>AnzLagerbestände*(ATP_BlockArray_HeadP+ATP_Stock_BlockP)</f>
        <v>0</v>
      </c>
      <c r="H52" s="61">
        <f>G52/GB</f>
        <v>0</v>
      </c>
    </row>
    <row r="53" spans="3:11" ht="15.75" customHeight="1">
      <c r="C53" s="3"/>
      <c r="J53" s="1" t="s">
        <v>176</v>
      </c>
      <c r="K53" s="1">
        <f>INT(AnzOutputKnoten/AnzPegAreas)+1</f>
        <v>1</v>
      </c>
    </row>
    <row r="54" spans="1:11" ht="15.75" customHeight="1">
      <c r="A54" s="57" t="s">
        <v>81</v>
      </c>
      <c r="B54" s="30">
        <v>5</v>
      </c>
      <c r="C54" s="3"/>
      <c r="F54" s="1"/>
      <c r="G54" s="1"/>
      <c r="H54" s="1"/>
      <c r="J54" s="1" t="s">
        <v>170</v>
      </c>
      <c r="K54" s="1">
        <f>AnzKDAufträge*AnzKDEinteilungen+AnzTransporte*AnzTransEinteilungen</f>
        <v>0</v>
      </c>
    </row>
    <row r="55" spans="1:11" ht="15.75" customHeight="1">
      <c r="A55" s="1" t="s">
        <v>90</v>
      </c>
      <c r="B55" s="30">
        <v>2</v>
      </c>
      <c r="C55" s="3"/>
      <c r="F55" s="1"/>
      <c r="G55" s="1"/>
      <c r="H55" s="1"/>
      <c r="J55" s="1" t="s">
        <v>84</v>
      </c>
      <c r="K55" s="1">
        <f>INT(AbgGesamt/AnzPegAreas)+1</f>
        <v>1</v>
      </c>
    </row>
    <row r="56" spans="1:11" ht="15.75" customHeight="1">
      <c r="A56" s="1" t="s">
        <v>82</v>
      </c>
      <c r="B56" s="30">
        <v>5</v>
      </c>
      <c r="C56" s="3"/>
      <c r="F56" s="1"/>
      <c r="J56" s="1" t="s">
        <v>89</v>
      </c>
      <c r="K56" s="1">
        <f>ATP_AnzKategorien*ATP_AnzLagerorte*ATP_AnzChargen</f>
        <v>50</v>
      </c>
    </row>
    <row r="57" spans="1:11" ht="15.75" customHeight="1">
      <c r="A57" s="1" t="s">
        <v>97</v>
      </c>
      <c r="B57" s="30">
        <v>30</v>
      </c>
      <c r="C57" s="3"/>
      <c r="F57" s="1"/>
      <c r="J57" s="1" t="s">
        <v>83</v>
      </c>
      <c r="K57" s="1">
        <f>INT(MIN(AnzAbgProMat,ATP_MaxCSVO_A))</f>
        <v>1</v>
      </c>
    </row>
    <row r="58" spans="3:11" ht="15.75" customHeight="1">
      <c r="C58" s="3"/>
      <c r="F58" s="1"/>
      <c r="J58" s="1" t="s">
        <v>87</v>
      </c>
      <c r="K58" s="1">
        <f>MIN(INT(AnzAbgProMat/ATP_MaxCSVO_A+0.5),ZeitreihenlängeA)</f>
        <v>0</v>
      </c>
    </row>
    <row r="59" spans="3:11" ht="15.75" customHeight="1">
      <c r="C59" s="3"/>
      <c r="D59" s="59" t="s">
        <v>80</v>
      </c>
      <c r="E59" s="59"/>
      <c r="F59" s="59"/>
      <c r="G59" s="60">
        <f>CSVO_Zeilen_Abgänge*ATP_AnzAnker*ATP_CSVO_ZeileP</f>
        <v>40</v>
      </c>
      <c r="H59" s="61">
        <f>G59/GB</f>
        <v>3.725290298461914E-08</v>
      </c>
      <c r="J59" s="1" t="s">
        <v>86</v>
      </c>
      <c r="K59" s="1">
        <f>IF(AnzAbgProMat&lt;=ATP_MaxCSVO_A,1,MinimumAbg)</f>
        <v>1</v>
      </c>
    </row>
    <row r="60" spans="1:8" ht="15.75" customHeight="1">
      <c r="A60" s="1" t="s">
        <v>88</v>
      </c>
      <c r="B60" s="5">
        <f>IF(INT(AnzZeitreihenAbg/ATP_Issue_BlockSize)=1,1,MIN(INT(AnzZeitreihenAbg/ATP_Issue_BlockSize)+1,INT(ZeitreihenlängeA/ATP_Issue_BlockSize+0.5)))</f>
        <v>1</v>
      </c>
      <c r="C60" s="3"/>
      <c r="D60" s="59" t="s">
        <v>71</v>
      </c>
      <c r="E60" s="59"/>
      <c r="F60" s="59"/>
      <c r="G60" s="60">
        <f>ATP_AnzAnker*CSVO_Zeilen_Abgänge*(ATP_Issue_ZeitrLänge*ATP_Issue_BlockP+ATP_BlockArray_HeadP)</f>
        <v>284</v>
      </c>
      <c r="H60" s="61">
        <f>G60/GB</f>
        <v>2.644956111907959E-07</v>
      </c>
    </row>
    <row r="61" spans="3:6" ht="15.75" customHeight="1">
      <c r="C61" s="3"/>
      <c r="F61" s="1"/>
    </row>
    <row r="62" spans="3:6" ht="15.75" customHeight="1">
      <c r="C62" s="3"/>
      <c r="F62" s="1"/>
    </row>
    <row r="63" spans="1:11" ht="15.75" customHeight="1">
      <c r="A63" s="57" t="s">
        <v>91</v>
      </c>
      <c r="B63" s="30">
        <v>5</v>
      </c>
      <c r="C63" s="3"/>
      <c r="F63" s="1"/>
      <c r="G63" s="1"/>
      <c r="H63" s="1"/>
      <c r="J63" s="1" t="s">
        <v>171</v>
      </c>
      <c r="K63" s="1">
        <f>AnzBestellungen*AnzBestEinteilungen+AnzProdAufträge*AnzKomponenten</f>
        <v>0</v>
      </c>
    </row>
    <row r="64" spans="1:11" ht="15.75" customHeight="1">
      <c r="A64" s="1" t="s">
        <v>92</v>
      </c>
      <c r="B64" s="30">
        <v>2</v>
      </c>
      <c r="C64" s="3"/>
      <c r="F64" s="1"/>
      <c r="G64" s="1"/>
      <c r="H64" s="1"/>
      <c r="J64" s="1" t="s">
        <v>85</v>
      </c>
      <c r="K64" s="1">
        <f>INT(ZugGesamt/AnzPegAreas)+1</f>
        <v>1</v>
      </c>
    </row>
    <row r="65" spans="1:11" ht="15.75" customHeight="1">
      <c r="A65" s="1" t="s">
        <v>93</v>
      </c>
      <c r="B65" s="30">
        <v>5</v>
      </c>
      <c r="C65" s="3"/>
      <c r="F65" s="1"/>
      <c r="J65" s="1" t="s">
        <v>89</v>
      </c>
      <c r="K65" s="1">
        <f>ATP_AnzKategorienZ*ATP_AnzLagerorteZ*ATP_AnzChargenZ</f>
        <v>50</v>
      </c>
    </row>
    <row r="66" spans="1:11" ht="15.75" customHeight="1">
      <c r="A66" s="1" t="s">
        <v>98</v>
      </c>
      <c r="B66" s="30">
        <v>30</v>
      </c>
      <c r="C66" s="3"/>
      <c r="F66" s="1"/>
      <c r="J66" s="1" t="s">
        <v>95</v>
      </c>
      <c r="K66" s="1">
        <f>INT(MIN(MaxCSVOZug,AnzZugProMat))</f>
        <v>1</v>
      </c>
    </row>
    <row r="67" spans="3:11" ht="15.75" customHeight="1">
      <c r="C67" s="3"/>
      <c r="F67" s="1"/>
      <c r="J67" s="1" t="s">
        <v>87</v>
      </c>
      <c r="K67" s="1">
        <f>MIN(INT(AnzZugProMat/MaxCSVOZug+0.5),ZeitreihenlängeZ)</f>
        <v>0</v>
      </c>
    </row>
    <row r="68" spans="3:11" ht="15.75" customHeight="1">
      <c r="C68" s="3"/>
      <c r="D68" s="59" t="s">
        <v>96</v>
      </c>
      <c r="E68" s="59"/>
      <c r="F68" s="59"/>
      <c r="G68" s="60">
        <f>CSVO_Zeilen_Zugänge*ATP_AnzAnker*ATP_CSVO_ZeileP</f>
        <v>40</v>
      </c>
      <c r="H68" s="61">
        <f>G68/GB</f>
        <v>3.725290298461914E-08</v>
      </c>
      <c r="J68" s="1" t="s">
        <v>86</v>
      </c>
      <c r="K68" s="1">
        <f>IF(AnzZugProMat&lt;=MaxCSVOZug,1,MinimumZug)</f>
        <v>1</v>
      </c>
    </row>
    <row r="69" spans="1:8" ht="15.75" customHeight="1">
      <c r="A69" s="1" t="s">
        <v>94</v>
      </c>
      <c r="B69" s="5">
        <f>IF(INT(AnzZeitreihenZug/ATP_Receipt_BlockSize)=1,1,MIN(INT(AnzZeitreihenZug/ATP_Receipt_BlockSize)+1,INT(ZeitreihenlängeZ/ATP_Receipt_BlockSize+0.5)))</f>
        <v>1</v>
      </c>
      <c r="C69" s="3"/>
      <c r="D69" s="59" t="s">
        <v>70</v>
      </c>
      <c r="E69" s="59"/>
      <c r="F69" s="59"/>
      <c r="G69" s="60">
        <f>ATP_AnzAnker*CSVO_Zeilen_Zugänge*(ATP_Receipt_ZeitrLänge*ATP_Receipt_BlockP+ATP_BlockArray_HeadP)</f>
        <v>204</v>
      </c>
      <c r="H69" s="61">
        <f>G69/GB</f>
        <v>1.8998980522155762E-07</v>
      </c>
    </row>
    <row r="70" spans="3:6" ht="15.75" customHeight="1">
      <c r="C70" s="3"/>
      <c r="F70" s="1"/>
    </row>
    <row r="71" spans="3:6" ht="15.75" customHeight="1">
      <c r="C71" s="3"/>
      <c r="F71" s="1"/>
    </row>
    <row r="72" spans="3:8" ht="15.75" customHeight="1">
      <c r="C72" s="3"/>
      <c r="D72" s="59" t="s">
        <v>69</v>
      </c>
      <c r="E72" s="59"/>
      <c r="F72" s="59"/>
      <c r="G72" s="60">
        <f>ATP_AnzAnker*(CSVO_Zeilen_Abgänge+CSVO_Zeilen_Zugänge)*ATP_TmAx_HandleP</f>
        <v>120</v>
      </c>
      <c r="H72" s="61">
        <f>G72/GB</f>
        <v>1.1175870895385742E-07</v>
      </c>
    </row>
    <row r="73" spans="3:6" ht="15.75" customHeight="1">
      <c r="C73" s="3"/>
      <c r="F73" s="1"/>
    </row>
    <row r="74" spans="3:8" ht="18.75" customHeight="1">
      <c r="C74" s="3"/>
      <c r="D74" s="63" t="s">
        <v>53</v>
      </c>
      <c r="E74" s="59"/>
      <c r="F74" s="59"/>
      <c r="G74" s="13">
        <f>SUM(G51:G72)</f>
        <v>780</v>
      </c>
      <c r="H74" s="64">
        <f>G74/GB</f>
        <v>7.264316082000732E-07</v>
      </c>
    </row>
    <row r="75" spans="3:8" ht="15.75" customHeight="1">
      <c r="C75" s="3"/>
      <c r="D75" s="8"/>
      <c r="F75" s="1"/>
      <c r="G75" s="7"/>
      <c r="H75" s="10"/>
    </row>
    <row r="76" spans="1:8" ht="15.75" customHeight="1">
      <c r="A76" s="2" t="s">
        <v>258</v>
      </c>
      <c r="C76" s="3"/>
      <c r="D76" s="8" t="s">
        <v>258</v>
      </c>
      <c r="F76" s="1"/>
      <c r="G76" s="7"/>
      <c r="H76" s="10"/>
    </row>
    <row r="77" spans="1:8" ht="15.75" customHeight="1">
      <c r="A77" t="s">
        <v>252</v>
      </c>
      <c r="B77" s="100">
        <v>10</v>
      </c>
      <c r="C77" s="3"/>
      <c r="D77" s="103" t="s">
        <v>260</v>
      </c>
      <c r="E77" s="103"/>
      <c r="F77" s="103"/>
      <c r="G77" s="103">
        <f>AnzZeitraster*(ZeitrasterkopfP+AnzBuckets*BucketdefinitionP)</f>
        <v>700</v>
      </c>
      <c r="H77" s="104">
        <f>ZeitrasterGesamt/GB</f>
        <v>6.51925802230835E-07</v>
      </c>
    </row>
    <row r="78" spans="1:8" ht="15.75" customHeight="1">
      <c r="A78" t="s">
        <v>223</v>
      </c>
      <c r="B78" s="100">
        <f>'Quantity-Structured'!D5</f>
        <v>0</v>
      </c>
      <c r="C78" s="3"/>
      <c r="D78" s="103" t="s">
        <v>261</v>
      </c>
      <c r="E78" s="103"/>
      <c r="F78" s="103"/>
      <c r="G78" s="103">
        <f>ZeitreihenkopfP+AnzKennzahlen*(KennzahlschluesselP+KennzahlbeschreibungP+AnzBuckets*(FixWertP*prozFixanteil+EinfachWertP*(100%-prozFixanteil)))</f>
        <v>106</v>
      </c>
      <c r="H78" s="104"/>
    </row>
    <row r="79" spans="1:8" ht="15.75" customHeight="1">
      <c r="A79" t="s">
        <v>253</v>
      </c>
      <c r="B79" s="100">
        <f>'Quantity-Structured'!D8+'Quantity-Structured'!D9</f>
        <v>0</v>
      </c>
      <c r="C79" s="3"/>
      <c r="D79" s="103" t="s">
        <v>262</v>
      </c>
      <c r="E79" s="103"/>
      <c r="F79" s="103"/>
      <c r="G79" s="103">
        <f>AnzZeitreihen*ZeitreiheEinzelVerbrauch</f>
        <v>0</v>
      </c>
      <c r="H79" s="104">
        <f>ZeitreihenGesamt/GB</f>
        <v>0</v>
      </c>
    </row>
    <row r="80" spans="1:8" ht="15.75" customHeight="1">
      <c r="A80" t="s">
        <v>254</v>
      </c>
      <c r="B80" s="100">
        <f>'Quantity-Structured'!D6*'Quantity-Structured'!D7</f>
        <v>0</v>
      </c>
      <c r="C80" s="3"/>
      <c r="D80" s="103" t="s">
        <v>263</v>
      </c>
      <c r="E80" s="103"/>
      <c r="F80" s="103"/>
      <c r="G80" s="103">
        <f>ZeitreiheEinzelVerbrauch+AnzZeitrProaggregat*(RelationskopfP+AnzKennzahlen*(UPRegelP+DOWNRegelP)+2*OID)</f>
        <v>106</v>
      </c>
      <c r="H80" s="104"/>
    </row>
    <row r="81" spans="1:8" ht="16.5" customHeight="1">
      <c r="A81" t="s">
        <v>255</v>
      </c>
      <c r="B81" s="101">
        <v>0.1</v>
      </c>
      <c r="C81" s="3"/>
      <c r="D81" s="103" t="s">
        <v>264</v>
      </c>
      <c r="E81" s="103"/>
      <c r="F81" s="103"/>
      <c r="G81" s="103">
        <f>AnzAggregate*AggregatEinzelVerbrauch</f>
        <v>1060</v>
      </c>
      <c r="H81" s="104">
        <f>AggregateGesamt/GB</f>
        <v>9.872019290924072E-07</v>
      </c>
    </row>
    <row r="82" spans="1:8" ht="15.75" customHeight="1">
      <c r="A82" t="s">
        <v>224</v>
      </c>
      <c r="B82" s="100">
        <v>10</v>
      </c>
      <c r="C82" s="3"/>
      <c r="D82" s="103"/>
      <c r="E82" s="103"/>
      <c r="F82" s="103"/>
      <c r="G82" s="103"/>
      <c r="H82" s="104"/>
    </row>
    <row r="83" spans="1:8" ht="15.75" customHeight="1">
      <c r="A83" t="s">
        <v>256</v>
      </c>
      <c r="B83" s="100">
        <f>AnzZeitreihen*0.1</f>
        <v>0</v>
      </c>
      <c r="C83" s="3"/>
      <c r="D83" s="8"/>
      <c r="F83" s="1"/>
      <c r="G83" s="7"/>
      <c r="H83" s="10"/>
    </row>
    <row r="84" spans="1:8" ht="15.75" customHeight="1">
      <c r="A84"/>
      <c r="B84" s="102"/>
      <c r="C84" s="3"/>
      <c r="D84" s="8"/>
      <c r="F84" s="1"/>
      <c r="G84" s="7"/>
      <c r="H84" s="10"/>
    </row>
    <row r="85" spans="3:8" ht="18.75" customHeight="1">
      <c r="C85" s="3"/>
      <c r="D85" s="63" t="s">
        <v>278</v>
      </c>
      <c r="E85" s="59"/>
      <c r="F85" s="59"/>
      <c r="G85" s="13">
        <f>(ZeitrasterGesamt+ZeitreihenGesamt+AggregateGesamt)*'Quantity-Structured'!D11</f>
        <v>0</v>
      </c>
      <c r="H85" s="64">
        <f>G85/GB</f>
        <v>0</v>
      </c>
    </row>
    <row r="86" spans="1:8" ht="15.75" customHeight="1">
      <c r="A86"/>
      <c r="B86" s="102"/>
      <c r="C86" s="3"/>
      <c r="D86" s="8"/>
      <c r="F86" s="1"/>
      <c r="G86" s="7"/>
      <c r="H86" s="10"/>
    </row>
    <row r="87" spans="1:8" ht="15.75" customHeight="1">
      <c r="A87" s="215" t="s">
        <v>259</v>
      </c>
      <c r="B87" s="201"/>
      <c r="C87" s="216"/>
      <c r="D87" s="217" t="s">
        <v>259</v>
      </c>
      <c r="E87" s="218"/>
      <c r="F87" s="218"/>
      <c r="G87" s="219"/>
      <c r="H87" s="220"/>
    </row>
    <row r="88" spans="1:8" ht="15.75" customHeight="1">
      <c r="A88" s="208" t="s">
        <v>172</v>
      </c>
      <c r="B88" s="221">
        <v>20000</v>
      </c>
      <c r="C88" s="216"/>
      <c r="D88" s="222" t="s">
        <v>265</v>
      </c>
      <c r="E88" s="222"/>
      <c r="F88" s="222"/>
      <c r="G88" s="222">
        <f>3*ZeitreihenkopfP+24*(KennzahlschluesselP+KennzahlbeschreibungP+AnzBuckets*EinfachWertP)+3*(SNPRelationskopfP+2*OID)+29*PushRegelP</f>
        <v>2994</v>
      </c>
      <c r="H88" s="223"/>
    </row>
    <row r="89" spans="1:8" ht="15.75" customHeight="1">
      <c r="A89" s="208" t="s">
        <v>225</v>
      </c>
      <c r="B89" s="221">
        <v>20000</v>
      </c>
      <c r="C89" s="216"/>
      <c r="D89" s="222" t="s">
        <v>266</v>
      </c>
      <c r="E89" s="222"/>
      <c r="F89" s="222"/>
      <c r="G89" s="222">
        <f>ProdMatEinzel*AnzSNPPLKomb</f>
        <v>59880000</v>
      </c>
      <c r="H89" s="223">
        <f>ProdMatGesamt/GB</f>
        <v>0.055767595767974854</v>
      </c>
    </row>
    <row r="90" spans="1:8" ht="15.75" customHeight="1">
      <c r="A90" s="208" t="s">
        <v>8</v>
      </c>
      <c r="B90" s="224">
        <v>1000</v>
      </c>
      <c r="C90" s="216"/>
      <c r="D90" s="225" t="s">
        <v>267</v>
      </c>
      <c r="E90" s="225"/>
      <c r="F90" s="225"/>
      <c r="G90" s="222">
        <f>3*ZeitreihenkopfP+7*(KennzahlschluesselP+KennzahlbeschreibungP+AnzBuckets*EinfachWertP)+3*(SNPRelationskopfP+2*OID)+6*PushRegelP+OID</f>
        <v>1226</v>
      </c>
      <c r="H90" s="225"/>
    </row>
    <row r="91" spans="1:8" ht="15.75" customHeight="1">
      <c r="A91" s="208" t="s">
        <v>226</v>
      </c>
      <c r="B91" s="221">
        <v>5000</v>
      </c>
      <c r="C91" s="216"/>
      <c r="D91" s="225" t="s">
        <v>268</v>
      </c>
      <c r="E91" s="222"/>
      <c r="F91" s="222"/>
      <c r="G91" s="226">
        <f>TransMatEinzel*AnzSNPProdTransKomb</f>
        <v>24520000</v>
      </c>
      <c r="H91" s="223">
        <f>TransMatGesamt/GB</f>
        <v>0.022836029529571533</v>
      </c>
    </row>
    <row r="92" spans="1:8" ht="15.75" customHeight="1">
      <c r="A92" s="208" t="s">
        <v>257</v>
      </c>
      <c r="B92" s="224">
        <v>5</v>
      </c>
      <c r="C92" s="216"/>
      <c r="D92" s="225" t="s">
        <v>269</v>
      </c>
      <c r="E92" s="222"/>
      <c r="F92" s="222"/>
      <c r="G92" s="222">
        <f>ZeitreihenkopfP+2*(KennzahlschluesselP+KennzahlbeschreibungP+AnzBuckets*EinfachWertP)+(SNPRelationskopfP+2*OID)+2*PushRegelP</f>
        <v>382</v>
      </c>
      <c r="H92" s="222"/>
    </row>
    <row r="93" spans="1:8" ht="16.5" customHeight="1">
      <c r="A93" s="208" t="s">
        <v>227</v>
      </c>
      <c r="B93" s="224">
        <v>4</v>
      </c>
      <c r="C93" s="216"/>
      <c r="D93" s="225" t="s">
        <v>270</v>
      </c>
      <c r="E93" s="222"/>
      <c r="F93" s="222"/>
      <c r="G93" s="226">
        <f>SNPRessourceEinzel*AnzSNPRes</f>
        <v>382000</v>
      </c>
      <c r="H93" s="223">
        <f>SNPRessourceGesamt/GB</f>
        <v>0.0003557652235031128</v>
      </c>
    </row>
    <row r="94" spans="1:8" ht="15.75" customHeight="1">
      <c r="A94" s="208" t="s">
        <v>228</v>
      </c>
      <c r="B94" s="221">
        <v>5</v>
      </c>
      <c r="C94" s="216"/>
      <c r="D94" s="225" t="s">
        <v>271</v>
      </c>
      <c r="E94" s="222"/>
      <c r="F94" s="222"/>
      <c r="G94" s="222">
        <f>ZeitreihenkopfP+1*(KennzahlschluesselP+KennzahlbeschreibungP+AnzBuckets*EinfachWertP)+(SNPRelationskopfP+2*OID)+1*PushRegelP</f>
        <v>286</v>
      </c>
      <c r="H94" s="222"/>
    </row>
    <row r="95" spans="1:8" ht="15.75" customHeight="1">
      <c r="A95" s="201"/>
      <c r="B95" s="201"/>
      <c r="C95" s="216"/>
      <c r="D95" s="225" t="s">
        <v>272</v>
      </c>
      <c r="E95" s="222"/>
      <c r="F95" s="222"/>
      <c r="G95" s="222">
        <f>ZeitreihenkopfP+1*(KennzahlschluesselP+KennzahlbeschreibungP+AnzBuckets*EinfachWertP)+(SNPRelationskopfP+2*OID)+1*PushRegelP</f>
        <v>286</v>
      </c>
      <c r="H95" s="222"/>
    </row>
    <row r="96" spans="1:8" ht="15.75" customHeight="1">
      <c r="A96" s="201"/>
      <c r="B96" s="201"/>
      <c r="C96" s="216"/>
      <c r="D96" s="225" t="s">
        <v>273</v>
      </c>
      <c r="E96" s="222"/>
      <c r="F96" s="222"/>
      <c r="G96" s="222">
        <f>ZeitreihenkopfP+1*(KennzahlschluesselP+KennzahlbeschreibungP+AnzBuckets*EinfachWertP)+2*(SNPRelationskopfP+2*OID)+2*PushRegelP</f>
        <v>394</v>
      </c>
      <c r="H96" s="222"/>
    </row>
    <row r="97" spans="1:8" ht="15.75" customHeight="1">
      <c r="A97" s="201"/>
      <c r="B97" s="201"/>
      <c r="C97" s="216"/>
      <c r="D97" s="225" t="s">
        <v>274</v>
      </c>
      <c r="E97" s="225"/>
      <c r="F97" s="225"/>
      <c r="G97" s="222">
        <f>2*ZeitreihenkopfP+3*(KennzahlschluesselP+KennzahlbeschreibungP+AnzBuckets*EinfachWertP)+2*(SNPRelationskopfP+2*OID)+4*PushRegelP+OID</f>
        <v>700</v>
      </c>
      <c r="H97" s="225"/>
    </row>
    <row r="98" spans="1:8" ht="15.75" customHeight="1">
      <c r="A98" s="201"/>
      <c r="B98" s="201"/>
      <c r="C98" s="216"/>
      <c r="D98" s="225" t="s">
        <v>275</v>
      </c>
      <c r="E98" s="225"/>
      <c r="F98" s="225"/>
      <c r="G98" s="222">
        <f>SNPPPMEinzelKopf+AnzSNPAktproPPM*AktProPPMVerbrauch+AnzSNPKompproPPM*AnzSNPKompproPPMVerbrauch+AnzSNPResproPPM*AnzSNPResproPPMVerbrauch</f>
        <v>5244</v>
      </c>
      <c r="H98" s="225"/>
    </row>
    <row r="99" spans="1:8" ht="15.75" customHeight="1">
      <c r="A99" s="201"/>
      <c r="B99" s="201"/>
      <c r="C99" s="216"/>
      <c r="D99" s="225" t="s">
        <v>276</v>
      </c>
      <c r="E99" s="225"/>
      <c r="F99" s="225"/>
      <c r="G99" s="227">
        <f>SNPPPMEinzel*AnzSNPPPM</f>
        <v>26220000</v>
      </c>
      <c r="H99" s="228">
        <f>SNPPPMGesamt/GB</f>
        <v>0.024419277906417847</v>
      </c>
    </row>
    <row r="100" spans="1:8" ht="15.75" customHeight="1">
      <c r="A100" s="201"/>
      <c r="B100" s="201"/>
      <c r="C100" s="216"/>
      <c r="D100" s="217"/>
      <c r="E100" s="218"/>
      <c r="F100" s="218"/>
      <c r="G100" s="219"/>
      <c r="H100" s="220"/>
    </row>
    <row r="101" spans="1:8" ht="18.75" customHeight="1">
      <c r="A101" s="218"/>
      <c r="B101" s="229"/>
      <c r="C101" s="216"/>
      <c r="D101" s="230" t="s">
        <v>277</v>
      </c>
      <c r="E101" s="231"/>
      <c r="F101" s="231"/>
      <c r="G101" s="232">
        <f>ProdMatGesamt+TransMatGesamt+SNPRessourceGesamt+SNPPPMGesamt</f>
        <v>111002000</v>
      </c>
      <c r="H101" s="233">
        <f>G101/GB</f>
        <v>0.10337866842746735</v>
      </c>
    </row>
    <row r="102" spans="1:8" ht="15.75" customHeight="1">
      <c r="A102"/>
      <c r="B102" s="102"/>
      <c r="C102" s="3"/>
      <c r="D102" s="8"/>
      <c r="F102" s="1"/>
      <c r="G102" s="7"/>
      <c r="H102" s="10"/>
    </row>
    <row r="103" spans="1:8" ht="15.75" customHeight="1">
      <c r="A103" s="1" t="s">
        <v>279</v>
      </c>
      <c r="B103" s="27">
        <v>1</v>
      </c>
      <c r="C103" s="3"/>
      <c r="D103" s="8"/>
      <c r="F103" s="1"/>
      <c r="G103" s="7"/>
      <c r="H103" s="10"/>
    </row>
    <row r="104" spans="1:3" ht="15.75" customHeight="1">
      <c r="A104" s="1" t="s">
        <v>449</v>
      </c>
      <c r="B104" s="27">
        <v>0</v>
      </c>
      <c r="C104" s="3"/>
    </row>
    <row r="105" spans="1:8" ht="18" customHeight="1">
      <c r="A105" s="1" t="s">
        <v>203</v>
      </c>
      <c r="B105" s="27">
        <f>IF(('User-Based'!E6+'User-Based'!D6+'User-Based'!C6)&gt;0,1,0)</f>
        <v>0</v>
      </c>
      <c r="C105" s="18" t="s">
        <v>72</v>
      </c>
      <c r="D105" s="21" t="s">
        <v>23</v>
      </c>
      <c r="E105" s="21"/>
      <c r="F105" s="22"/>
      <c r="G105" s="22">
        <f>BenutzeATP*G74+G45+BenutzDP*DPGesamt+BenutzeSNP*SNPGesamt</f>
        <v>0</v>
      </c>
      <c r="H105" s="20">
        <f>G105/GB</f>
        <v>0</v>
      </c>
    </row>
    <row r="106" spans="4:8" ht="18.75" customHeight="1">
      <c r="D106" s="8"/>
      <c r="G106" s="7"/>
      <c r="H106" s="10"/>
    </row>
    <row r="107" spans="3:8" ht="26.25" customHeight="1">
      <c r="C107" s="18" t="s">
        <v>73</v>
      </c>
      <c r="D107" s="21" t="s">
        <v>26</v>
      </c>
      <c r="E107" s="23"/>
      <c r="F107" s="24"/>
      <c r="G107" s="19">
        <f>NettoBedarfObjekte*SichZuschlag/100</f>
        <v>0</v>
      </c>
      <c r="H107" s="20">
        <f>G107/GB</f>
        <v>0</v>
      </c>
    </row>
    <row r="108" ht="22.5" customHeight="1">
      <c r="A108" s="8" t="s">
        <v>14</v>
      </c>
    </row>
    <row r="109" spans="1:8" ht="18.75" customHeight="1">
      <c r="A109" s="1" t="s">
        <v>17</v>
      </c>
      <c r="B109" s="27">
        <v>80</v>
      </c>
      <c r="D109" s="1" t="s">
        <v>54</v>
      </c>
      <c r="G109" s="6">
        <f>AnzSession*Session</f>
        <v>160000000</v>
      </c>
      <c r="H109" s="9">
        <f>G109/GB</f>
        <v>0.14901161193847656</v>
      </c>
    </row>
    <row r="110" spans="4:8" ht="15.75" customHeight="1">
      <c r="D110" s="1" t="s">
        <v>21</v>
      </c>
      <c r="G110" s="6">
        <f>liveCacheMS</f>
        <v>15000000</v>
      </c>
      <c r="H110" s="9">
        <f>G110/GB</f>
        <v>0.013969838619232178</v>
      </c>
    </row>
    <row r="111" spans="4:8" ht="15.75" customHeight="1">
      <c r="D111" s="1" t="s">
        <v>22</v>
      </c>
      <c r="G111" s="6">
        <f>lCMSvariabel*NettoBedarfObjekte/100</f>
        <v>0</v>
      </c>
      <c r="H111" s="9">
        <f>G111/GB</f>
        <v>0</v>
      </c>
    </row>
    <row r="112" ht="13.5" customHeight="1"/>
    <row r="113" spans="3:8" ht="24.75" customHeight="1">
      <c r="C113" s="18" t="s">
        <v>74</v>
      </c>
      <c r="D113" s="21" t="s">
        <v>76</v>
      </c>
      <c r="E113" s="21"/>
      <c r="F113" s="21"/>
      <c r="G113" s="22">
        <f>SUM(G109:G111)</f>
        <v>175000000</v>
      </c>
      <c r="H113" s="20">
        <f>G113/GB</f>
        <v>0.16298145055770874</v>
      </c>
    </row>
    <row r="114" ht="23.25" customHeight="1"/>
    <row r="116" spans="3:8" ht="15.75" customHeight="1">
      <c r="C116" s="18" t="s">
        <v>75</v>
      </c>
      <c r="D116" s="13"/>
      <c r="E116" s="13"/>
      <c r="F116" s="19" t="s">
        <v>18</v>
      </c>
      <c r="G116" s="19">
        <f>G113+G107+NettoBedarfObjekte</f>
        <v>175000000</v>
      </c>
      <c r="H116" s="20">
        <f>G116/GB</f>
        <v>0.16298145055770874</v>
      </c>
    </row>
    <row r="117" ht="22.5" customHeight="1"/>
  </sheetData>
  <mergeCells count="1">
    <mergeCell ref="A1:H1"/>
  </mergeCells>
  <printOptions/>
  <pageMargins left="0.7874015748031497" right="0.5905511811023623" top="0" bottom="0" header="0" footer="0"/>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L139"/>
  <sheetViews>
    <sheetView zoomScale="75" zoomScaleNormal="75" workbookViewId="0" topLeftCell="A106">
      <selection activeCell="G135" sqref="G135"/>
    </sheetView>
  </sheetViews>
  <sheetFormatPr defaultColWidth="9.140625" defaultRowHeight="12.75"/>
  <cols>
    <col min="1" max="1" width="8.00390625" style="3" customWidth="1"/>
    <col min="2" max="2" width="40.28125" style="1" customWidth="1"/>
    <col min="3" max="3" width="10.28125" style="25" customWidth="1"/>
    <col min="4" max="4" width="4.57421875" style="1" customWidth="1"/>
    <col min="5" max="5" width="9.140625" style="15" customWidth="1"/>
    <col min="6" max="6" width="4.421875" style="1" customWidth="1"/>
    <col min="7" max="7" width="10.8515625" style="5" customWidth="1"/>
    <col min="8" max="8" width="8.57421875" style="1" customWidth="1"/>
    <col min="9" max="9" width="12.140625" style="1" customWidth="1"/>
    <col min="10" max="10" width="9.421875" style="1" customWidth="1"/>
    <col min="11" max="16384" width="11.421875" style="1" customWidth="1"/>
  </cols>
  <sheetData>
    <row r="1" spans="1:10" s="43" customFormat="1" ht="30" customHeight="1">
      <c r="A1" s="282" t="s">
        <v>484</v>
      </c>
      <c r="B1" s="268"/>
      <c r="C1" s="268"/>
      <c r="D1" s="268"/>
      <c r="E1" s="268"/>
      <c r="F1" s="268"/>
      <c r="G1" s="268"/>
      <c r="H1" s="268"/>
      <c r="I1" s="268"/>
      <c r="J1" s="268"/>
    </row>
    <row r="2" spans="1:4" ht="27.75" customHeight="1">
      <c r="A2" s="28" t="s">
        <v>99</v>
      </c>
      <c r="D2" s="46"/>
    </row>
    <row r="3" spans="4:8" ht="15" customHeight="1">
      <c r="D3" s="46"/>
      <c r="G3" s="7"/>
      <c r="H3" s="14"/>
    </row>
    <row r="4" spans="1:7" s="2" customFormat="1" ht="15.75" customHeight="1">
      <c r="A4" s="4" t="s">
        <v>1</v>
      </c>
      <c r="B4" s="2" t="s">
        <v>134</v>
      </c>
      <c r="C4" s="48"/>
      <c r="D4" s="46"/>
      <c r="E4" s="36"/>
      <c r="G4" s="42"/>
    </row>
    <row r="5" spans="2:10" ht="33" customHeight="1">
      <c r="B5" s="2"/>
      <c r="C5" s="49" t="s">
        <v>114</v>
      </c>
      <c r="D5" s="46"/>
      <c r="E5" s="16" t="s">
        <v>113</v>
      </c>
      <c r="G5" s="281" t="s">
        <v>115</v>
      </c>
      <c r="H5" s="281"/>
      <c r="I5" s="281" t="s">
        <v>116</v>
      </c>
      <c r="J5" s="281"/>
    </row>
    <row r="6" spans="1:10" ht="15" customHeight="1">
      <c r="A6" s="4" t="s">
        <v>3</v>
      </c>
      <c r="B6" s="2" t="s">
        <v>102</v>
      </c>
      <c r="D6" s="46"/>
      <c r="E6" s="16"/>
      <c r="G6" s="37"/>
      <c r="H6" s="37"/>
      <c r="I6" s="36"/>
      <c r="J6" s="36"/>
    </row>
    <row r="7" spans="2:10" ht="15" customHeight="1">
      <c r="B7" s="1" t="s">
        <v>50</v>
      </c>
      <c r="C7" s="47">
        <v>1</v>
      </c>
      <c r="D7" s="46"/>
      <c r="E7" s="45">
        <v>1</v>
      </c>
      <c r="G7" s="30">
        <v>216</v>
      </c>
      <c r="H7" s="1" t="s">
        <v>0</v>
      </c>
      <c r="I7" s="62">
        <f>PegArea+PegArea_P_Flag*Persistenz+PegArea_K_Flag*(Guid22+KeyedPersistenz)</f>
        <v>276</v>
      </c>
      <c r="J7" s="1" t="s">
        <v>0</v>
      </c>
    </row>
    <row r="8" spans="2:10" ht="15" customHeight="1">
      <c r="B8" s="1" t="s">
        <v>119</v>
      </c>
      <c r="C8" s="47">
        <v>1</v>
      </c>
      <c r="D8" s="46"/>
      <c r="E8" s="45">
        <v>1</v>
      </c>
      <c r="G8" s="30">
        <v>132</v>
      </c>
      <c r="H8" s="1" t="s">
        <v>0</v>
      </c>
      <c r="I8" s="62">
        <f>Resource+Resource_P_Flag*Persistenz+Resource_K_Flag*(Guid22+KeyedPersistenz)</f>
        <v>192</v>
      </c>
      <c r="J8" s="1" t="s">
        <v>0</v>
      </c>
    </row>
    <row r="9" spans="2:10" ht="15" customHeight="1">
      <c r="B9" s="1" t="s">
        <v>120</v>
      </c>
      <c r="C9" s="47">
        <v>1</v>
      </c>
      <c r="D9" s="46"/>
      <c r="E9" s="45">
        <v>1</v>
      </c>
      <c r="G9" s="30">
        <v>16</v>
      </c>
      <c r="H9" s="1" t="s">
        <v>0</v>
      </c>
      <c r="I9" s="62">
        <f>TimeLineObject+TimeLineObject_P_Flag*Persistenz+TimeLineObject_K_Flag*(Guid22+KeyedPersistenz)</f>
        <v>76</v>
      </c>
      <c r="J9" s="1" t="s">
        <v>0</v>
      </c>
    </row>
    <row r="10" spans="2:10" ht="15" customHeight="1">
      <c r="B10" s="1" t="s">
        <v>121</v>
      </c>
      <c r="C10" s="47"/>
      <c r="D10" s="46"/>
      <c r="E10" s="45"/>
      <c r="G10" s="30">
        <v>32</v>
      </c>
      <c r="H10" s="1" t="s">
        <v>0</v>
      </c>
      <c r="I10" s="62">
        <f>TimeLineItem+TimeLineItem_P_Flag*Persistenz+TimeLineItem_K_Flag*(Guid22+KeyedPersistenz)</f>
        <v>32</v>
      </c>
      <c r="J10" s="1" t="s">
        <v>0</v>
      </c>
    </row>
    <row r="11" spans="2:10" ht="15" customHeight="1">
      <c r="B11" s="1" t="s">
        <v>103</v>
      </c>
      <c r="C11" s="47">
        <v>1</v>
      </c>
      <c r="D11" s="46"/>
      <c r="E11" s="45"/>
      <c r="G11" s="30">
        <v>40</v>
      </c>
      <c r="H11" s="1" t="s">
        <v>0</v>
      </c>
      <c r="I11" s="62">
        <f>Bucket+Bucket_P_Flag*Persistenz+Bucket_K_Flag*(Guid22+KeyedPersistenz)</f>
        <v>60</v>
      </c>
      <c r="J11" s="1" t="s">
        <v>0</v>
      </c>
    </row>
    <row r="12" spans="2:10" ht="15" customHeight="1">
      <c r="B12" s="1" t="s">
        <v>105</v>
      </c>
      <c r="C12" s="47">
        <v>1</v>
      </c>
      <c r="D12" s="46"/>
      <c r="E12" s="45">
        <v>1</v>
      </c>
      <c r="G12" s="30">
        <v>68</v>
      </c>
      <c r="H12" s="1" t="s">
        <v>0</v>
      </c>
      <c r="I12" s="62">
        <f>SetupMatrix+SetupMatrix_P_Flag*Persistenz+SetupMatrix_K_Flag*(Guid22+KeyedPersistenz)</f>
        <v>128</v>
      </c>
      <c r="J12" s="1" t="s">
        <v>0</v>
      </c>
    </row>
    <row r="13" spans="2:10" ht="15" customHeight="1">
      <c r="B13" s="1" t="s">
        <v>106</v>
      </c>
      <c r="C13" s="47"/>
      <c r="D13" s="46"/>
      <c r="E13" s="45"/>
      <c r="G13" s="30">
        <v>8</v>
      </c>
      <c r="H13" s="1" t="s">
        <v>0</v>
      </c>
      <c r="I13" s="62">
        <f>SetupItem+SetupItem_P_Flag*Persistenz+SetupItem_K_Flag*(Guid22+KeyedPersistenz)</f>
        <v>8</v>
      </c>
      <c r="J13" s="1" t="s">
        <v>0</v>
      </c>
    </row>
    <row r="14" spans="2:10" ht="15" customHeight="1">
      <c r="B14" s="1" t="s">
        <v>107</v>
      </c>
      <c r="C14" s="47">
        <v>1</v>
      </c>
      <c r="D14" s="46"/>
      <c r="E14" s="45">
        <v>1</v>
      </c>
      <c r="G14" s="30">
        <v>36</v>
      </c>
      <c r="H14" s="1" t="s">
        <v>0</v>
      </c>
      <c r="I14" s="62">
        <f>ResourceNet+ResourceNet_P_Flag*Persistenz+ResourceNet_K_Flag*(Guid22+KeyedPersistenz)</f>
        <v>96</v>
      </c>
      <c r="J14" s="1" t="s">
        <v>0</v>
      </c>
    </row>
    <row r="15" spans="2:10" ht="15" customHeight="1">
      <c r="B15" s="1" t="s">
        <v>320</v>
      </c>
      <c r="C15" s="47">
        <v>1</v>
      </c>
      <c r="D15" s="46"/>
      <c r="E15" s="45"/>
      <c r="G15" s="30">
        <v>72</v>
      </c>
      <c r="H15" s="1" t="s">
        <v>0</v>
      </c>
      <c r="I15" s="62">
        <f>Storage+Storage_P_Flag*Persistenz+Storage_K_Flag*(Guid22+KeyedPersistenz)</f>
        <v>92</v>
      </c>
      <c r="J15" s="1" t="s">
        <v>0</v>
      </c>
    </row>
    <row r="16" spans="4:9" ht="15" customHeight="1">
      <c r="D16" s="46"/>
      <c r="E16" s="44"/>
      <c r="G16" s="38"/>
      <c r="I16" s="5"/>
    </row>
    <row r="17" spans="1:10" ht="15" customHeight="1">
      <c r="A17" s="4" t="s">
        <v>4</v>
      </c>
      <c r="B17" s="2" t="s">
        <v>101</v>
      </c>
      <c r="D17" s="46"/>
      <c r="E17" s="44"/>
      <c r="G17" s="37"/>
      <c r="H17" s="37"/>
      <c r="I17" s="36"/>
      <c r="J17" s="36"/>
    </row>
    <row r="18" spans="2:10" ht="15" customHeight="1">
      <c r="B18" s="1" t="s">
        <v>111</v>
      </c>
      <c r="C18" s="47">
        <v>1</v>
      </c>
      <c r="D18" s="46"/>
      <c r="E18" s="45">
        <v>1</v>
      </c>
      <c r="G18" s="30">
        <v>124</v>
      </c>
      <c r="H18" s="1" t="s">
        <v>0</v>
      </c>
      <c r="I18" s="62">
        <f>Order+Order_P_Flag*Persistenz+Order_K_Flag*(Guid22+KeyedPersistenz)</f>
        <v>184</v>
      </c>
      <c r="J18" s="1" t="s">
        <v>0</v>
      </c>
    </row>
    <row r="19" spans="2:10" ht="15" customHeight="1">
      <c r="B19" s="1" t="s">
        <v>177</v>
      </c>
      <c r="C19" s="47">
        <v>1</v>
      </c>
      <c r="D19" s="46"/>
      <c r="E19" s="45">
        <v>1</v>
      </c>
      <c r="G19" s="30">
        <v>140</v>
      </c>
      <c r="H19" s="1" t="s">
        <v>0</v>
      </c>
      <c r="I19" s="62">
        <f>Segment+Segment_P_Flag*Persistenz+Segment_K_Flag*(Guid22+KeyedPersistenz)</f>
        <v>200</v>
      </c>
      <c r="J19" s="1" t="s">
        <v>0</v>
      </c>
    </row>
    <row r="20" spans="2:10" ht="15" customHeight="1">
      <c r="B20" s="1" t="s">
        <v>315</v>
      </c>
      <c r="C20" s="47"/>
      <c r="D20" s="46"/>
      <c r="E20" s="45"/>
      <c r="G20" s="30">
        <v>32</v>
      </c>
      <c r="H20" s="1" t="s">
        <v>0</v>
      </c>
      <c r="I20" s="62">
        <f>PersModeInfo+PersModeInfo_P_Flag*Persistenz+PersModeInfo_K_Flag*(Guid22+KeyedPersistenz)</f>
        <v>32</v>
      </c>
      <c r="J20" s="1" t="s">
        <v>0</v>
      </c>
    </row>
    <row r="21" spans="2:10" ht="15" customHeight="1">
      <c r="B21" s="1" t="s">
        <v>2</v>
      </c>
      <c r="C21" s="47">
        <v>1</v>
      </c>
      <c r="D21" s="46"/>
      <c r="E21" s="45"/>
      <c r="G21" s="30">
        <v>68</v>
      </c>
      <c r="H21" s="1" t="s">
        <v>0</v>
      </c>
      <c r="I21" s="62">
        <f>Constraint+Constraint_P_Flag*Persistenz+Constraint_K_Flag*(Guid22+KeyedPersistenz)</f>
        <v>88</v>
      </c>
      <c r="J21" s="1" t="s">
        <v>0</v>
      </c>
    </row>
    <row r="22" spans="3:7" ht="15" customHeight="1">
      <c r="C22" s="1"/>
      <c r="E22" s="1"/>
      <c r="G22" s="1"/>
    </row>
    <row r="23" spans="1:10" ht="15" customHeight="1">
      <c r="A23" s="4" t="s">
        <v>5</v>
      </c>
      <c r="B23" s="2" t="s">
        <v>295</v>
      </c>
      <c r="D23" s="46"/>
      <c r="E23" s="44"/>
      <c r="G23" s="37"/>
      <c r="H23" s="37"/>
      <c r="I23" s="36"/>
      <c r="J23" s="36"/>
    </row>
    <row r="24" spans="2:10" ht="15" customHeight="1">
      <c r="B24" s="1" t="s">
        <v>280</v>
      </c>
      <c r="C24" s="47">
        <v>1</v>
      </c>
      <c r="D24" s="46"/>
      <c r="E24" s="45"/>
      <c r="G24" s="30">
        <v>172</v>
      </c>
      <c r="H24" s="1" t="s">
        <v>0</v>
      </c>
      <c r="I24" s="62">
        <f>PersIoNodeVoll+PersIoNodeVoll_P_Flag*Persistenz+PersIoNodeVoll_K_Flag*(Guid22+KeyedPersistenz)</f>
        <v>192</v>
      </c>
      <c r="J24" s="1" t="s">
        <v>0</v>
      </c>
    </row>
    <row r="25" spans="2:10" ht="15" customHeight="1">
      <c r="B25" s="1" t="s">
        <v>281</v>
      </c>
      <c r="C25" s="47">
        <v>1</v>
      </c>
      <c r="D25" s="46"/>
      <c r="E25" s="45"/>
      <c r="G25" s="30">
        <v>80</v>
      </c>
      <c r="H25" s="1" t="s">
        <v>0</v>
      </c>
      <c r="I25" s="62">
        <f>PersIoNodeBestand+PersIoNodeBestand_P_Flag*Persistenz+PersIoNodeBestand_K_Flag*(Guid22+KeyedPersistenz)</f>
        <v>100</v>
      </c>
      <c r="J25" s="1" t="s">
        <v>0</v>
      </c>
    </row>
    <row r="26" spans="2:10" ht="15" customHeight="1">
      <c r="B26" s="1" t="s">
        <v>282</v>
      </c>
      <c r="C26" s="47">
        <v>1</v>
      </c>
      <c r="D26" s="46"/>
      <c r="E26" s="45"/>
      <c r="G26" s="30">
        <v>128</v>
      </c>
      <c r="H26" s="1" t="s">
        <v>0</v>
      </c>
      <c r="I26" s="62">
        <f>PersIoNodeKundeK+PersIoNodeKundeK_P_Flag*Persistenz+PersIoNodeKundeK_K_Flag*(Guid22+KeyedPersistenz)</f>
        <v>148</v>
      </c>
      <c r="J26" s="1" t="s">
        <v>0</v>
      </c>
    </row>
    <row r="27" spans="2:10" ht="15" customHeight="1">
      <c r="B27" s="1" t="s">
        <v>283</v>
      </c>
      <c r="C27" s="47">
        <v>1</v>
      </c>
      <c r="D27" s="46"/>
      <c r="E27" s="45"/>
      <c r="G27" s="30">
        <v>136</v>
      </c>
      <c r="H27" s="1" t="s">
        <v>0</v>
      </c>
      <c r="I27" s="62">
        <f>PersIoNodeKundeG+PersIoNodeKundeG_P_Flag*Persistenz+PersIoNodeKundeG_K_FLag*(Guid22+KeyedPersistenz)</f>
        <v>156</v>
      </c>
      <c r="J27" s="1" t="s">
        <v>0</v>
      </c>
    </row>
    <row r="28" spans="2:10" ht="15" customHeight="1">
      <c r="B28" s="1" t="s">
        <v>284</v>
      </c>
      <c r="C28" s="47">
        <v>1</v>
      </c>
      <c r="D28" s="46"/>
      <c r="E28" s="45"/>
      <c r="G28" s="30">
        <v>112</v>
      </c>
      <c r="H28" s="1" t="s">
        <v>0</v>
      </c>
      <c r="I28" s="62">
        <f>PersIoNodeVorplanung+PersIoNodeVorplanung_P_Flag*Persistenz+PersIoNodeVorplanung_K_Flag*(Guid22+KeyedPersistenz)</f>
        <v>132</v>
      </c>
      <c r="J28" s="1" t="s">
        <v>0</v>
      </c>
    </row>
    <row r="29" spans="2:10" ht="15" customHeight="1">
      <c r="B29" s="1" t="s">
        <v>285</v>
      </c>
      <c r="C29" s="47">
        <v>1</v>
      </c>
      <c r="D29" s="46"/>
      <c r="E29" s="45"/>
      <c r="G29" s="30">
        <v>144</v>
      </c>
      <c r="H29" s="1" t="s">
        <v>0</v>
      </c>
      <c r="I29" s="62">
        <f>PersIoNodeBestellung+PersIoNodeBestellung_P_Flag*Persistenz+PersIoNodeBestellung_K_Flag*(Guid22+KeyedPersistenz)</f>
        <v>164</v>
      </c>
      <c r="J29" s="1" t="s">
        <v>0</v>
      </c>
    </row>
    <row r="30" spans="2:10" ht="15" customHeight="1">
      <c r="B30" s="1" t="s">
        <v>286</v>
      </c>
      <c r="C30" s="47">
        <v>1</v>
      </c>
      <c r="D30" s="46"/>
      <c r="E30" s="45"/>
      <c r="G30" s="30">
        <v>136</v>
      </c>
      <c r="H30" s="1" t="s">
        <v>0</v>
      </c>
      <c r="I30" s="62">
        <f>PersIoNodeTransportIn+PersIoNodeTransportIn_P_Flag*Persistenz+PersIoNodeTransportIn_K_Flag*(Guid22+KeyedPersistenz)</f>
        <v>156</v>
      </c>
      <c r="J30" s="1" t="s">
        <v>0</v>
      </c>
    </row>
    <row r="31" spans="2:10" ht="15" customHeight="1">
      <c r="B31" s="1" t="s">
        <v>287</v>
      </c>
      <c r="C31" s="47">
        <v>1</v>
      </c>
      <c r="D31" s="46"/>
      <c r="E31" s="45"/>
      <c r="G31" s="30">
        <v>120</v>
      </c>
      <c r="H31" s="1" t="s">
        <v>0</v>
      </c>
      <c r="I31" s="62">
        <f>PersIoNodeTransportOut+PersIoNodeTransportOut_P_Flag*Persistenz+PersIoNodeTransportOut_K_Flag*(Guid22+KeyedPersistenz)</f>
        <v>140</v>
      </c>
      <c r="J31" s="1" t="s">
        <v>0</v>
      </c>
    </row>
    <row r="32" spans="2:10" ht="15" customHeight="1">
      <c r="B32" s="1" t="s">
        <v>288</v>
      </c>
      <c r="C32" s="47">
        <v>1</v>
      </c>
      <c r="D32" s="46"/>
      <c r="E32" s="45"/>
      <c r="G32" s="30">
        <v>144</v>
      </c>
      <c r="H32" s="1" t="s">
        <v>0</v>
      </c>
      <c r="I32" s="62">
        <f>PersIoNodeProduktionOut+PersIoNodeProduktionOut_P_Flag*Persistenz+PersIoNodeProduktionOut_K_Flag*(Guid22+KeyedPersistenz)</f>
        <v>164</v>
      </c>
      <c r="J32" s="1" t="s">
        <v>0</v>
      </c>
    </row>
    <row r="33" spans="2:10" ht="15" customHeight="1">
      <c r="B33" s="1" t="s">
        <v>289</v>
      </c>
      <c r="C33" s="47">
        <v>1</v>
      </c>
      <c r="D33" s="46"/>
      <c r="E33" s="45"/>
      <c r="G33" s="30">
        <v>128</v>
      </c>
      <c r="H33" s="1" t="s">
        <v>0</v>
      </c>
      <c r="I33" s="62">
        <f>PersIoNodeProduktionInK+PersIoNodeProduktionInK_P_Flag*Persistenz+PersIoNodeProduktionInK_K_Flag*(Guid22+KeyedPersistenz)</f>
        <v>148</v>
      </c>
      <c r="J33" s="1" t="s">
        <v>0</v>
      </c>
    </row>
    <row r="34" spans="2:10" ht="15" customHeight="1">
      <c r="B34" s="1" t="s">
        <v>290</v>
      </c>
      <c r="C34" s="47">
        <v>1</v>
      </c>
      <c r="D34" s="46"/>
      <c r="E34" s="45"/>
      <c r="G34" s="30">
        <v>144</v>
      </c>
      <c r="H34" s="1" t="s">
        <v>0</v>
      </c>
      <c r="I34" s="62">
        <f>PersIoNodeProduktionInM+PersIoNodeProduktionInM_P_Flag*Persistenz+PersIoNodeProduktionInM_K_Flag*(Guid22+KeyedPersistenz)</f>
        <v>164</v>
      </c>
      <c r="J34" s="1" t="s">
        <v>0</v>
      </c>
    </row>
    <row r="35" spans="2:10" ht="15" customHeight="1">
      <c r="B35" s="1" t="s">
        <v>291</v>
      </c>
      <c r="C35" s="47">
        <v>1</v>
      </c>
      <c r="D35" s="46"/>
      <c r="E35" s="45"/>
      <c r="G35" s="30">
        <v>160</v>
      </c>
      <c r="H35" s="1" t="s">
        <v>0</v>
      </c>
      <c r="I35" s="62">
        <f>PersIoNodeProduktionInG+PersIoNodeProduktionInG_P_Flag*Persistenz+PersIoNodeProduktionInG_K_Flag*(Guid22+KeyedPersistenz)</f>
        <v>180</v>
      </c>
      <c r="J35" s="1" t="s">
        <v>0</v>
      </c>
    </row>
    <row r="36" spans="2:10" ht="15" customHeight="1">
      <c r="B36" s="1" t="s">
        <v>292</v>
      </c>
      <c r="C36" s="47">
        <v>1</v>
      </c>
      <c r="D36" s="46"/>
      <c r="E36" s="45"/>
      <c r="G36" s="30">
        <v>120</v>
      </c>
      <c r="H36" s="1" t="s">
        <v>0</v>
      </c>
      <c r="I36" s="62">
        <f>PersIoNodeSubstitution+PersIoNodeSubstitution_P_Flag*Persistenz+PersIoNodeSubstitution_K_Flag*(Guid22+KeyedPersistenz)</f>
        <v>140</v>
      </c>
      <c r="J36" s="1" t="s">
        <v>0</v>
      </c>
    </row>
    <row r="37" spans="2:10" ht="15" customHeight="1">
      <c r="B37" s="1" t="s">
        <v>293</v>
      </c>
      <c r="C37" s="47">
        <v>1</v>
      </c>
      <c r="D37" s="46"/>
      <c r="E37" s="45"/>
      <c r="G37" s="30">
        <v>128</v>
      </c>
      <c r="H37" s="1" t="s">
        <v>0</v>
      </c>
      <c r="I37" s="62">
        <f>PersIoNodeMPA+PersIoNodeMPA_P_Flag*Persistenz+PersIoNodeMPA_K_Flag*(Guid22+KeyedPersistenz)</f>
        <v>148</v>
      </c>
      <c r="J37" s="1" t="s">
        <v>0</v>
      </c>
    </row>
    <row r="38" spans="2:10" ht="15" customHeight="1">
      <c r="B38" s="1" t="s">
        <v>294</v>
      </c>
      <c r="C38" s="47">
        <v>1</v>
      </c>
      <c r="D38" s="46"/>
      <c r="E38" s="45"/>
      <c r="G38" s="30">
        <v>88</v>
      </c>
      <c r="H38" s="1" t="s">
        <v>0</v>
      </c>
      <c r="I38" s="62">
        <f>PersIoNodeStorage+PersIoNodeStorage_P_Flag*Persistenz+PersIoNodeStorage_K_Flag*(Guid22+KeyedPersistenz)</f>
        <v>108</v>
      </c>
      <c r="J38" s="1" t="s">
        <v>0</v>
      </c>
    </row>
    <row r="39" spans="2:10" ht="15" customHeight="1">
      <c r="B39" s="1" t="s">
        <v>322</v>
      </c>
      <c r="C39" s="47"/>
      <c r="D39" s="46"/>
      <c r="E39" s="45"/>
      <c r="G39" s="30">
        <v>20</v>
      </c>
      <c r="H39" s="1" t="s">
        <v>0</v>
      </c>
      <c r="I39" s="62">
        <f>PersStorageModeItem+PersStorageModeItem_P_Flag*Persistenz+PersStorageModeItem_K_Flag*(Guid22+KeyedPersistenz)</f>
        <v>20</v>
      </c>
      <c r="J39" s="1" t="s">
        <v>0</v>
      </c>
    </row>
    <row r="40" ht="12.75"/>
    <row r="41" spans="1:9" s="39" customFormat="1" ht="15" customHeight="1">
      <c r="A41" s="4" t="s">
        <v>6</v>
      </c>
      <c r="B41" s="2" t="s">
        <v>108</v>
      </c>
      <c r="C41" s="50"/>
      <c r="D41" s="46"/>
      <c r="E41" s="44"/>
      <c r="G41" s="40"/>
      <c r="I41" s="41"/>
    </row>
    <row r="42" spans="2:10" ht="12.75">
      <c r="B42" s="1" t="s">
        <v>104</v>
      </c>
      <c r="C42" s="47">
        <v>1</v>
      </c>
      <c r="D42" s="46"/>
      <c r="E42" s="45"/>
      <c r="G42" s="27">
        <v>20</v>
      </c>
      <c r="H42" s="1" t="s">
        <v>0</v>
      </c>
      <c r="I42" s="59">
        <f>CharacteristicsLineObject+CharacteristicsLineObject_P_Flag*Persistenz+CharacteristicsLineObject_K_Flag*(Guid22+KeyedPersistenz)</f>
        <v>40</v>
      </c>
      <c r="J42" s="1" t="s">
        <v>0</v>
      </c>
    </row>
    <row r="43" spans="2:10" ht="15" customHeight="1">
      <c r="B43" s="1" t="s">
        <v>297</v>
      </c>
      <c r="C43" s="47"/>
      <c r="D43" s="46"/>
      <c r="E43" s="45"/>
      <c r="G43" s="30">
        <v>20</v>
      </c>
      <c r="H43" s="1" t="s">
        <v>0</v>
      </c>
      <c r="I43" s="62">
        <f>StartCharactBlock+StartCharactBlock_P_Flag*Persistenz+StartCharactBlock_K_Flag*(Guid22+KeyedPersistenz)</f>
        <v>20</v>
      </c>
      <c r="J43" s="1" t="s">
        <v>0</v>
      </c>
    </row>
    <row r="44" spans="2:10" ht="15" customHeight="1">
      <c r="B44" s="1" t="s">
        <v>296</v>
      </c>
      <c r="C44" s="47">
        <v>1</v>
      </c>
      <c r="D44" s="46"/>
      <c r="E44" s="45">
        <v>1</v>
      </c>
      <c r="G44" s="30">
        <v>20</v>
      </c>
      <c r="H44" s="1" t="s">
        <v>0</v>
      </c>
      <c r="I44" s="62">
        <f>CharactBlock+CharactBlock_P_Flag*Persistenz+CharactBlock_K_Flag*(Guid22+KeyedPersistenz)</f>
        <v>80</v>
      </c>
      <c r="J44" s="1" t="s">
        <v>0</v>
      </c>
    </row>
    <row r="45" spans="2:10" ht="15" customHeight="1">
      <c r="B45" s="1" t="s">
        <v>109</v>
      </c>
      <c r="C45" s="47"/>
      <c r="D45" s="46"/>
      <c r="E45" s="45"/>
      <c r="G45" s="30">
        <v>16</v>
      </c>
      <c r="H45" s="1" t="s">
        <v>0</v>
      </c>
      <c r="I45" s="62">
        <f>ValuationEntry+ValuationEntry_P_Flag*Persistenz+ValuationEntry_K_Flag*(Guid22+KeyedPersistenz)</f>
        <v>16</v>
      </c>
      <c r="J45" s="1" t="s">
        <v>0</v>
      </c>
    </row>
    <row r="46" spans="2:10" ht="14.25" customHeight="1">
      <c r="B46" s="1" t="s">
        <v>110</v>
      </c>
      <c r="C46" s="47"/>
      <c r="D46" s="46"/>
      <c r="E46" s="45"/>
      <c r="G46" s="30">
        <v>24</v>
      </c>
      <c r="H46" s="1" t="s">
        <v>0</v>
      </c>
      <c r="I46" s="62">
        <f>ConstraintEntry+ConstraintEntry_P_Flag*Persistenz+ConstraintEntry_K_Flag*(Guid22+KeyedPersistenz)</f>
        <v>24</v>
      </c>
      <c r="J46" s="1" t="s">
        <v>0</v>
      </c>
    </row>
    <row r="47" spans="3:7" ht="14.25" customHeight="1">
      <c r="C47" s="1"/>
      <c r="E47" s="1"/>
      <c r="G47" s="1"/>
    </row>
    <row r="48" spans="1:9" s="39" customFormat="1" ht="15" customHeight="1">
      <c r="A48" s="4" t="s">
        <v>6</v>
      </c>
      <c r="B48" s="2" t="s">
        <v>298</v>
      </c>
      <c r="C48" s="50"/>
      <c r="D48" s="46"/>
      <c r="E48" s="44"/>
      <c r="G48" s="40"/>
      <c r="I48" s="41"/>
    </row>
    <row r="49" spans="2:10" ht="15" customHeight="1">
      <c r="B49" s="1" t="s">
        <v>299</v>
      </c>
      <c r="C49" s="47">
        <v>1</v>
      </c>
      <c r="D49" s="46"/>
      <c r="E49" s="45">
        <v>1</v>
      </c>
      <c r="G49" s="30">
        <v>24</v>
      </c>
      <c r="H49" s="1" t="s">
        <v>0</v>
      </c>
      <c r="I49" s="62">
        <f>IPPELocator+IPPELocator_P_Flag*Persistenz+IPPELocator_K_Flag*(Guid22+KeyedPersistenz)</f>
        <v>84</v>
      </c>
      <c r="J49" s="1" t="s">
        <v>0</v>
      </c>
    </row>
    <row r="50" spans="2:10" ht="15" customHeight="1">
      <c r="B50" s="1" t="s">
        <v>300</v>
      </c>
      <c r="C50" s="47"/>
      <c r="D50" s="46"/>
      <c r="E50" s="45"/>
      <c r="G50" s="30">
        <v>32</v>
      </c>
      <c r="H50" s="1" t="s">
        <v>0</v>
      </c>
      <c r="I50" s="62">
        <f>IPPEHead+IPPEHead_P_Flag*Persistenz+IPPEHead_K_Flag*(Guid22+KeyedPersistenz)</f>
        <v>32</v>
      </c>
      <c r="J50" s="1" t="s">
        <v>0</v>
      </c>
    </row>
    <row r="51" spans="2:10" ht="15" customHeight="1">
      <c r="B51" s="1" t="s">
        <v>301</v>
      </c>
      <c r="C51" s="47"/>
      <c r="D51" s="46"/>
      <c r="E51" s="45"/>
      <c r="G51" s="30">
        <v>64</v>
      </c>
      <c r="H51" s="1" t="s">
        <v>0</v>
      </c>
      <c r="I51" s="62">
        <f>IPPEStation+IPPEStation_P_Flag*Persistenz+IPPEStation_K_Flag*(Guid22+KeyedPersistenz)</f>
        <v>64</v>
      </c>
      <c r="J51" s="1" t="s">
        <v>0</v>
      </c>
    </row>
    <row r="52" spans="2:9" ht="15" customHeight="1">
      <c r="B52" s="3"/>
      <c r="C52" s="3"/>
      <c r="D52" s="3"/>
      <c r="E52" s="3"/>
      <c r="F52" s="3"/>
      <c r="G52" s="3"/>
      <c r="H52" s="3"/>
      <c r="I52" s="3"/>
    </row>
    <row r="53" spans="1:9" s="39" customFormat="1" ht="15" customHeight="1">
      <c r="A53" s="4" t="s">
        <v>6</v>
      </c>
      <c r="B53" s="2" t="s">
        <v>302</v>
      </c>
      <c r="C53" s="50"/>
      <c r="D53" s="46"/>
      <c r="E53" s="44"/>
      <c r="G53" s="40"/>
      <c r="I53" s="41"/>
    </row>
    <row r="54" spans="2:10" ht="12.75">
      <c r="B54" s="1" t="s">
        <v>303</v>
      </c>
      <c r="C54" s="47"/>
      <c r="D54" s="46"/>
      <c r="E54" s="45"/>
      <c r="G54" s="30">
        <v>40</v>
      </c>
      <c r="H54" s="1" t="s">
        <v>0</v>
      </c>
      <c r="I54" s="59">
        <f>PegArcFix+PegArcFix_P_Flag*Persistenz+PegArcFix_K_Flag*(Guid22+KeyedPersistenz)</f>
        <v>40</v>
      </c>
      <c r="J54" s="1" t="s">
        <v>0</v>
      </c>
    </row>
    <row r="55" spans="2:10" ht="15" customHeight="1">
      <c r="B55" s="1" t="s">
        <v>304</v>
      </c>
      <c r="C55" s="47"/>
      <c r="D55" s="46"/>
      <c r="E55" s="45"/>
      <c r="G55" s="30">
        <v>28</v>
      </c>
      <c r="H55" s="1" t="s">
        <v>0</v>
      </c>
      <c r="I55" s="62">
        <f>PegArcDynD+PegArcDynD_P_Flag*Persistenz+PegArcDynD_K_Flag*(Guid22+KeyedPersistenz)</f>
        <v>28</v>
      </c>
      <c r="J55" s="1" t="s">
        <v>0</v>
      </c>
    </row>
    <row r="56" spans="2:10" ht="15" customHeight="1">
      <c r="B56" s="1" t="s">
        <v>305</v>
      </c>
      <c r="C56" s="47"/>
      <c r="D56" s="46"/>
      <c r="E56" s="45"/>
      <c r="G56" s="30">
        <v>56</v>
      </c>
      <c r="H56" s="1" t="s">
        <v>0</v>
      </c>
      <c r="I56" s="62">
        <f>PegArcDynC+PegArcDynC_P_Flag*Persistenz+PegArcDynC_K_Flag*(Guid22+KeyedPersistenz)</f>
        <v>56</v>
      </c>
      <c r="J56" s="1" t="s">
        <v>0</v>
      </c>
    </row>
    <row r="57" spans="2:10" ht="15" customHeight="1">
      <c r="B57" s="1" t="s">
        <v>306</v>
      </c>
      <c r="C57" s="47"/>
      <c r="D57" s="46"/>
      <c r="E57" s="45"/>
      <c r="G57" s="30">
        <v>28</v>
      </c>
      <c r="H57" s="1" t="s">
        <v>0</v>
      </c>
      <c r="I57" s="62">
        <f>PegNodeDev+PegNodeDev_P_Flag*Persistenz+PegNodeDev_K_Flag*(Guid22+KeyedPersistenz)</f>
        <v>28</v>
      </c>
      <c r="J57" s="1" t="s">
        <v>0</v>
      </c>
    </row>
    <row r="58" spans="2:9" ht="15" customHeight="1">
      <c r="B58" s="3"/>
      <c r="C58" s="3"/>
      <c r="D58" s="3"/>
      <c r="E58" s="3"/>
      <c r="F58" s="3"/>
      <c r="G58" s="3"/>
      <c r="I58" s="3"/>
    </row>
    <row r="59" spans="1:10" s="39" customFormat="1" ht="15" customHeight="1">
      <c r="A59" s="4" t="s">
        <v>6</v>
      </c>
      <c r="B59" s="2" t="s">
        <v>307</v>
      </c>
      <c r="C59" s="50"/>
      <c r="D59" s="46"/>
      <c r="E59" s="44"/>
      <c r="G59" s="40"/>
      <c r="H59" s="1"/>
      <c r="I59" s="41"/>
      <c r="J59" s="1"/>
    </row>
    <row r="60" spans="2:10" ht="15" customHeight="1">
      <c r="B60" s="1" t="s">
        <v>308</v>
      </c>
      <c r="C60" s="47">
        <v>1</v>
      </c>
      <c r="D60" s="46"/>
      <c r="E60" s="45"/>
      <c r="G60" s="30">
        <v>24</v>
      </c>
      <c r="H60" s="1" t="s">
        <v>0</v>
      </c>
      <c r="I60" s="62">
        <f>EveTreeRoot+EveTreeRoot_P_Flag*Persistenz+EveTreeRoot_K_Flag*(Guid22+KeyedPersistenz)</f>
        <v>44</v>
      </c>
      <c r="J60" s="1" t="s">
        <v>0</v>
      </c>
    </row>
    <row r="61" spans="2:7" ht="15" customHeight="1">
      <c r="B61" s="1" t="s">
        <v>309</v>
      </c>
      <c r="C61" s="47"/>
      <c r="D61" s="46"/>
      <c r="E61" s="46"/>
      <c r="G61" s="30">
        <v>38</v>
      </c>
    </row>
    <row r="62" spans="2:10" ht="15" customHeight="1">
      <c r="B62" s="1" t="s">
        <v>331</v>
      </c>
      <c r="C62" s="47"/>
      <c r="D62" s="46"/>
      <c r="E62" s="45"/>
      <c r="G62" s="30">
        <v>16</v>
      </c>
      <c r="H62" s="1" t="s">
        <v>0</v>
      </c>
      <c r="I62" s="62">
        <f>EveIndexItemPersist</f>
        <v>16</v>
      </c>
      <c r="J62" s="1" t="s">
        <v>0</v>
      </c>
    </row>
    <row r="63" spans="2:10" ht="15" customHeight="1">
      <c r="B63" s="1" t="s">
        <v>332</v>
      </c>
      <c r="C63" s="47">
        <v>1</v>
      </c>
      <c r="D63" s="46"/>
      <c r="E63" s="45"/>
      <c r="G63" s="30">
        <f>EVE_MAX_INDEX_SIZE*EveIndexItemPersist</f>
        <v>608</v>
      </c>
      <c r="H63" s="1" t="s">
        <v>0</v>
      </c>
      <c r="I63" s="62">
        <f>Eve_Index_node+EveIndexPersistent_P_Flag*OmsVarObjectHead</f>
        <v>656</v>
      </c>
      <c r="J63" s="1" t="s">
        <v>0</v>
      </c>
    </row>
    <row r="64" spans="2:10" ht="15" customHeight="1">
      <c r="B64" s="1" t="s">
        <v>310</v>
      </c>
      <c r="C64" s="47">
        <v>1</v>
      </c>
      <c r="D64" s="46"/>
      <c r="E64" s="46"/>
      <c r="G64" s="30">
        <v>380</v>
      </c>
      <c r="H64" s="1" t="s">
        <v>0</v>
      </c>
      <c r="I64" s="1">
        <f>EVE_MAX_LEAF_SIZE+EVE_MAX_LEAF_SIZE_P_Flag*OmsVarObjectHead</f>
        <v>428</v>
      </c>
      <c r="J64" s="1" t="s">
        <v>0</v>
      </c>
    </row>
    <row r="65" spans="2:9" ht="15" customHeight="1">
      <c r="B65" s="1" t="s">
        <v>330</v>
      </c>
      <c r="C65" s="46"/>
      <c r="D65" s="46"/>
      <c r="E65" s="46"/>
      <c r="G65" s="30">
        <v>40</v>
      </c>
      <c r="H65" s="1" t="s">
        <v>0</v>
      </c>
      <c r="I65" s="62"/>
    </row>
    <row r="66" spans="2:9" ht="15" customHeight="1">
      <c r="B66" s="1" t="s">
        <v>334</v>
      </c>
      <c r="C66" s="47"/>
      <c r="D66" s="46"/>
      <c r="E66" s="45"/>
      <c r="G66" s="30">
        <f>EVE_MAX_LEAF_SIZE/EveBedarfBelegung</f>
        <v>9.5</v>
      </c>
      <c r="I66" s="62">
        <f>EVE_MAX_LEAF_SIZE/EveBedarfBelegung</f>
        <v>9.5</v>
      </c>
    </row>
    <row r="67" spans="2:9" ht="15" customHeight="1">
      <c r="B67" s="1" t="s">
        <v>333</v>
      </c>
      <c r="C67" s="47"/>
      <c r="D67" s="46"/>
      <c r="E67" s="45"/>
      <c r="G67" s="30"/>
      <c r="I67" s="62">
        <f>(EVE_MAX_INDEX_SIZE+1)/(EVE_MAX_INDEX_SIZE*EVE_MAX_INDEX_SIZE)*EveIndexPersistentP</f>
        <v>17.717451523545705</v>
      </c>
    </row>
    <row r="68" spans="3:9" ht="15" customHeight="1">
      <c r="C68" s="47"/>
      <c r="D68" s="46"/>
      <c r="E68" s="45"/>
      <c r="G68" s="30"/>
      <c r="I68" s="62"/>
    </row>
    <row r="69" spans="2:10" ht="15" customHeight="1">
      <c r="B69" s="1" t="s">
        <v>327</v>
      </c>
      <c r="C69" s="47"/>
      <c r="D69" s="46"/>
      <c r="E69" s="45"/>
      <c r="G69" s="30">
        <f>EveBedarfBelegung</f>
        <v>40</v>
      </c>
      <c r="H69" s="1" t="s">
        <v>0</v>
      </c>
      <c r="I69" s="62">
        <f>EveBedarfBelegung+Overhead_Belegung_P/Item_Per_Leaf_P</f>
        <v>41.86499489721534</v>
      </c>
      <c r="J69" s="1" t="s">
        <v>0</v>
      </c>
    </row>
    <row r="70" spans="3:7" ht="15" customHeight="1">
      <c r="C70" s="1"/>
      <c r="E70" s="1"/>
      <c r="G70" s="1"/>
    </row>
    <row r="71" spans="1:7" s="39" customFormat="1" ht="15">
      <c r="A71" s="4" t="s">
        <v>6</v>
      </c>
      <c r="B71" s="2" t="s">
        <v>311</v>
      </c>
      <c r="C71" s="50"/>
      <c r="D71" s="46"/>
      <c r="E71" s="44"/>
      <c r="G71" s="41"/>
    </row>
    <row r="72" spans="2:10" ht="15" customHeight="1">
      <c r="B72" s="1" t="s">
        <v>312</v>
      </c>
      <c r="C72" s="47">
        <v>1</v>
      </c>
      <c r="D72" s="46"/>
      <c r="E72" s="45">
        <v>1</v>
      </c>
      <c r="G72" s="30">
        <v>60</v>
      </c>
      <c r="H72" s="1" t="s">
        <v>0</v>
      </c>
      <c r="I72" s="62">
        <f>TransSimHead+TransSimHead_P_Flag*Persistenz+TransSimHead_K_Flag*(Guid22+KeyedPersistenz)</f>
        <v>120</v>
      </c>
      <c r="J72" s="1" t="s">
        <v>0</v>
      </c>
    </row>
    <row r="73" spans="2:10" ht="15" customHeight="1">
      <c r="B73" s="1" t="s">
        <v>313</v>
      </c>
      <c r="C73" s="47">
        <v>1</v>
      </c>
      <c r="D73" s="46"/>
      <c r="E73" s="45">
        <v>1</v>
      </c>
      <c r="G73" s="30">
        <v>44</v>
      </c>
      <c r="H73" s="1" t="s">
        <v>0</v>
      </c>
      <c r="I73" s="62">
        <f>MultiLevelAtpOrderContainer+MultiLevelAtpOrderContainer_P_Flag*Persistenz+MultiLevelAtpOrderContainer_K_Flag*(Guid22+KeyedPersistenz)</f>
        <v>104</v>
      </c>
      <c r="J73" s="1" t="s">
        <v>0</v>
      </c>
    </row>
    <row r="74" spans="3:7" ht="15" customHeight="1">
      <c r="C74" s="1"/>
      <c r="E74" s="1"/>
      <c r="G74" s="1"/>
    </row>
    <row r="75" spans="1:7" s="39" customFormat="1" ht="15">
      <c r="A75" s="4" t="s">
        <v>6</v>
      </c>
      <c r="B75" s="2" t="s">
        <v>112</v>
      </c>
      <c r="C75" s="50"/>
      <c r="D75" s="46"/>
      <c r="E75" s="44"/>
      <c r="G75" s="41"/>
    </row>
    <row r="76" spans="1:10" s="26" customFormat="1" ht="12.75">
      <c r="A76" s="51"/>
      <c r="B76" s="26" t="s">
        <v>123</v>
      </c>
      <c r="C76" s="53">
        <v>1</v>
      </c>
      <c r="D76" s="52"/>
      <c r="E76" s="54">
        <v>1</v>
      </c>
      <c r="G76" s="31">
        <v>20</v>
      </c>
      <c r="H76" s="26" t="s">
        <v>0</v>
      </c>
      <c r="I76" s="86">
        <f>PropagationArea+PropagationArea_P_Flag*Persistenz+PropagationArea_K_Flag*(Guid22+KeyedPersistenz)</f>
        <v>80</v>
      </c>
      <c r="J76" s="26" t="s">
        <v>0</v>
      </c>
    </row>
    <row r="77" spans="1:10" s="26" customFormat="1" ht="12.75">
      <c r="A77" s="51"/>
      <c r="B77" s="26" t="s">
        <v>314</v>
      </c>
      <c r="C77" s="53">
        <v>1</v>
      </c>
      <c r="D77" s="52"/>
      <c r="E77" s="54">
        <v>1</v>
      </c>
      <c r="G77" s="31">
        <v>28</v>
      </c>
      <c r="H77" s="26" t="s">
        <v>0</v>
      </c>
      <c r="I77" s="86">
        <f>Campaign+Campaign_P_Flag*Persistenz+Campaign_K_Flag*(Guid22+KeyedPersistenz)</f>
        <v>88</v>
      </c>
      <c r="J77" s="26" t="s">
        <v>0</v>
      </c>
    </row>
    <row r="78" ht="12.75">
      <c r="D78" s="46"/>
    </row>
    <row r="79" ht="12.75">
      <c r="D79" s="46"/>
    </row>
    <row r="80" spans="1:9" s="2" customFormat="1" ht="15" customHeight="1">
      <c r="A80" s="4" t="s">
        <v>124</v>
      </c>
      <c r="B80" s="2" t="s">
        <v>135</v>
      </c>
      <c r="C80" s="48"/>
      <c r="D80" s="55"/>
      <c r="E80" s="36"/>
      <c r="G80" s="42"/>
      <c r="I80" s="56"/>
    </row>
    <row r="81" spans="1:10" ht="15" customHeight="1">
      <c r="A81" s="3" t="s">
        <v>16</v>
      </c>
      <c r="B81" s="1" t="s">
        <v>56</v>
      </c>
      <c r="D81" s="46"/>
      <c r="G81" s="30">
        <v>32</v>
      </c>
      <c r="H81" s="1" t="s">
        <v>0</v>
      </c>
      <c r="I81" s="5">
        <f>ATP_Anker+Persistenz+Guid22+KeyedPersistenz</f>
        <v>92</v>
      </c>
      <c r="J81" s="1" t="s">
        <v>0</v>
      </c>
    </row>
    <row r="82" spans="1:10" ht="15" customHeight="1">
      <c r="A82" s="3" t="s">
        <v>12</v>
      </c>
      <c r="B82" s="1" t="s">
        <v>57</v>
      </c>
      <c r="D82" s="46"/>
      <c r="G82" s="30">
        <v>40</v>
      </c>
      <c r="H82" s="1" t="s">
        <v>0</v>
      </c>
      <c r="I82" s="5">
        <f>ATP_CSVO_Zeile</f>
        <v>40</v>
      </c>
      <c r="J82" s="1" t="s">
        <v>0</v>
      </c>
    </row>
    <row r="83" spans="1:12" ht="15" customHeight="1">
      <c r="A83" s="3" t="s">
        <v>28</v>
      </c>
      <c r="B83" s="1" t="s">
        <v>58</v>
      </c>
      <c r="D83" s="46"/>
      <c r="G83" s="30">
        <v>40</v>
      </c>
      <c r="H83" s="1" t="s">
        <v>0</v>
      </c>
      <c r="I83" s="5">
        <f>ATP_TmAx_Handle+Persistenz</f>
        <v>60</v>
      </c>
      <c r="J83" s="1" t="s">
        <v>0</v>
      </c>
      <c r="L83" s="5"/>
    </row>
    <row r="84" spans="1:12" ht="15" customHeight="1">
      <c r="A84" s="3" t="s">
        <v>29</v>
      </c>
      <c r="B84" s="1" t="s">
        <v>62</v>
      </c>
      <c r="D84" s="46"/>
      <c r="G84" s="30">
        <v>12</v>
      </c>
      <c r="H84" s="1" t="s">
        <v>0</v>
      </c>
      <c r="I84" s="5">
        <f>ATP_BlockArray_Head+Persistenz</f>
        <v>32</v>
      </c>
      <c r="J84" s="1" t="s">
        <v>0</v>
      </c>
      <c r="L84" s="5"/>
    </row>
    <row r="85" spans="1:12" ht="15" customHeight="1">
      <c r="A85" s="3" t="s">
        <v>30</v>
      </c>
      <c r="B85" s="1" t="s">
        <v>59</v>
      </c>
      <c r="D85" s="46"/>
      <c r="G85" s="30">
        <v>44</v>
      </c>
      <c r="H85" s="1" t="s">
        <v>0</v>
      </c>
      <c r="I85" s="5">
        <f>ATP_Stock_Block+Persistenz</f>
        <v>64</v>
      </c>
      <c r="J85" s="1" t="s">
        <v>0</v>
      </c>
      <c r="L85" s="5"/>
    </row>
    <row r="86" spans="1:9" ht="15" customHeight="1">
      <c r="A86" s="3" t="s">
        <v>31</v>
      </c>
      <c r="B86" s="1" t="s">
        <v>60</v>
      </c>
      <c r="D86" s="46"/>
      <c r="I86" s="35"/>
    </row>
    <row r="87" spans="2:10" ht="15" customHeight="1">
      <c r="B87" s="1" t="s">
        <v>63</v>
      </c>
      <c r="D87" s="46"/>
      <c r="G87" s="27">
        <v>152</v>
      </c>
      <c r="H87" s="1" t="s">
        <v>0</v>
      </c>
      <c r="I87" s="30">
        <f>ATP_Receipt_Block+Persistenz</f>
        <v>172</v>
      </c>
      <c r="J87" s="1" t="s">
        <v>0</v>
      </c>
    </row>
    <row r="88" spans="2:9" ht="15" customHeight="1">
      <c r="B88" s="1" t="s">
        <v>25</v>
      </c>
      <c r="D88" s="46"/>
      <c r="G88" s="27">
        <v>10</v>
      </c>
      <c r="H88" s="1" t="s">
        <v>24</v>
      </c>
      <c r="I88" s="35"/>
    </row>
    <row r="89" spans="2:10" ht="15" customHeight="1">
      <c r="B89" s="1" t="s">
        <v>61</v>
      </c>
      <c r="D89" s="46"/>
      <c r="G89" s="27">
        <f>ATP_Receipt_Block/ATP_Receipt_BlockSize</f>
        <v>15.2</v>
      </c>
      <c r="H89" s="1" t="s">
        <v>0</v>
      </c>
      <c r="I89" s="5">
        <f>ATP_Receipt_BlockP/ATP_Receipt_BlockSize</f>
        <v>17.2</v>
      </c>
      <c r="J89" s="1" t="s">
        <v>0</v>
      </c>
    </row>
    <row r="90" spans="1:9" ht="15" customHeight="1">
      <c r="A90" s="3" t="s">
        <v>117</v>
      </c>
      <c r="B90" s="1" t="s">
        <v>64</v>
      </c>
      <c r="D90" s="46"/>
      <c r="I90" s="35"/>
    </row>
    <row r="91" spans="2:10" ht="15" customHeight="1">
      <c r="B91" s="1" t="s">
        <v>65</v>
      </c>
      <c r="D91" s="46"/>
      <c r="G91" s="27">
        <v>232</v>
      </c>
      <c r="H91" s="1" t="s">
        <v>0</v>
      </c>
      <c r="I91" s="27">
        <f>ATP_Issue_Block+Persistenz</f>
        <v>252</v>
      </c>
      <c r="J91" s="1" t="s">
        <v>0</v>
      </c>
    </row>
    <row r="92" spans="2:9" ht="15" customHeight="1">
      <c r="B92" s="1" t="s">
        <v>25</v>
      </c>
      <c r="D92" s="46"/>
      <c r="G92" s="27">
        <v>10</v>
      </c>
      <c r="H92" s="1" t="s">
        <v>24</v>
      </c>
      <c r="I92" s="35"/>
    </row>
    <row r="93" spans="2:10" ht="15" customHeight="1">
      <c r="B93" s="1" t="s">
        <v>61</v>
      </c>
      <c r="D93" s="46"/>
      <c r="G93" s="27">
        <f>ATP_Issue_Block/ATP_Issue_BlockSize</f>
        <v>23.2</v>
      </c>
      <c r="H93" s="1" t="s">
        <v>0</v>
      </c>
      <c r="I93" s="35">
        <f>ATP_Issue_BlockP/ATP_Issue_BlockSize</f>
        <v>25.2</v>
      </c>
      <c r="J93" s="1" t="s">
        <v>0</v>
      </c>
    </row>
    <row r="94" spans="1:9" ht="15" customHeight="1">
      <c r="A94" s="3" t="s">
        <v>122</v>
      </c>
      <c r="B94" s="1" t="s">
        <v>204</v>
      </c>
      <c r="D94" s="46"/>
      <c r="I94" s="35"/>
    </row>
    <row r="95" spans="2:10" ht="15" customHeight="1">
      <c r="B95" s="1" t="s">
        <v>205</v>
      </c>
      <c r="C95" s="97">
        <v>1</v>
      </c>
      <c r="D95" s="46"/>
      <c r="E95" s="98">
        <v>1</v>
      </c>
      <c r="G95" s="27">
        <v>40</v>
      </c>
      <c r="H95" s="1" t="s">
        <v>0</v>
      </c>
      <c r="I95" s="62">
        <f>Delta_Anker_ATPAPSVPL+DeltaancATPAPSVPL_P_Flag*Persistenz+DeltaancATPAPSVPL_K_Flag*(Guid22+KeyedPersistenz)+3*BA_KopfP</f>
        <v>244</v>
      </c>
      <c r="J95" s="1" t="s">
        <v>0</v>
      </c>
    </row>
    <row r="96" spans="2:10" ht="15" customHeight="1">
      <c r="B96" s="1" t="s">
        <v>206</v>
      </c>
      <c r="C96" s="97">
        <v>1</v>
      </c>
      <c r="D96" s="46"/>
      <c r="E96" s="98">
        <v>1</v>
      </c>
      <c r="G96" s="27">
        <v>40</v>
      </c>
      <c r="H96" s="1" t="s">
        <v>0</v>
      </c>
      <c r="I96" s="62">
        <f>Delta_Anker_ALL+DeltaancALL_P_Flag*Persistenz+DeltaancALL_K_Flag*(Guid22+KeyedPersistenz)+BA_KopfP</f>
        <v>148</v>
      </c>
      <c r="J96" s="1" t="s">
        <v>0</v>
      </c>
    </row>
    <row r="97" spans="2:10" ht="15" customHeight="1">
      <c r="B97" s="1" t="s">
        <v>207</v>
      </c>
      <c r="C97" s="97"/>
      <c r="D97" s="46"/>
      <c r="E97" s="98"/>
      <c r="G97" s="27">
        <v>144</v>
      </c>
      <c r="H97" s="1" t="s">
        <v>0</v>
      </c>
      <c r="I97" s="62">
        <f>DeltasatzAPS</f>
        <v>144</v>
      </c>
      <c r="J97" s="1" t="s">
        <v>0</v>
      </c>
    </row>
    <row r="98" spans="2:10" ht="15" customHeight="1">
      <c r="B98" s="1" t="s">
        <v>208</v>
      </c>
      <c r="C98" s="97"/>
      <c r="D98" s="46"/>
      <c r="E98" s="98"/>
      <c r="G98" s="27">
        <v>168</v>
      </c>
      <c r="H98" s="1" t="s">
        <v>0</v>
      </c>
      <c r="I98" s="62">
        <f>DeltasatzATP</f>
        <v>168</v>
      </c>
      <c r="J98" s="1" t="s">
        <v>0</v>
      </c>
    </row>
    <row r="99" spans="2:10" ht="15" customHeight="1">
      <c r="B99" s="1" t="s">
        <v>209</v>
      </c>
      <c r="C99" s="97"/>
      <c r="D99" s="46"/>
      <c r="E99" s="98"/>
      <c r="G99" s="27">
        <v>128</v>
      </c>
      <c r="H99" s="1" t="s">
        <v>0</v>
      </c>
      <c r="I99" s="62">
        <f>DeltasatzALL</f>
        <v>128</v>
      </c>
      <c r="J99" s="1" t="s">
        <v>0</v>
      </c>
    </row>
    <row r="100" spans="2:10" ht="15" customHeight="1">
      <c r="B100" s="1" t="s">
        <v>210</v>
      </c>
      <c r="C100" s="97"/>
      <c r="D100" s="46"/>
      <c r="E100" s="98"/>
      <c r="G100" s="27">
        <v>128</v>
      </c>
      <c r="H100" s="1" t="s">
        <v>0</v>
      </c>
      <c r="I100" s="62">
        <f>DeltasatzVPL</f>
        <v>128</v>
      </c>
      <c r="J100" s="1" t="s">
        <v>0</v>
      </c>
    </row>
    <row r="101" spans="2:9" ht="15" customHeight="1">
      <c r="B101" s="1" t="s">
        <v>211</v>
      </c>
      <c r="C101" s="97"/>
      <c r="D101" s="46"/>
      <c r="E101" s="98"/>
      <c r="G101" s="27">
        <v>10</v>
      </c>
      <c r="H101" s="1" t="s">
        <v>212</v>
      </c>
      <c r="I101" s="5"/>
    </row>
    <row r="102" spans="2:10" ht="15" customHeight="1">
      <c r="B102" s="1" t="s">
        <v>213</v>
      </c>
      <c r="C102" s="97">
        <v>1</v>
      </c>
      <c r="D102" s="46"/>
      <c r="E102" s="98"/>
      <c r="G102" s="27">
        <f>Blockgröße_Delta*DeltasatzAPS+BA_Blockverw</f>
        <v>1472</v>
      </c>
      <c r="H102" s="1" t="s">
        <v>0</v>
      </c>
      <c r="I102" s="62">
        <f>BA_Block_APS+BA_Block_APS_P_Flag*Persistenz+BA_Block_APS_K_Flag*(Guid22+KeyedPersistenz)</f>
        <v>1492</v>
      </c>
      <c r="J102" s="1" t="s">
        <v>0</v>
      </c>
    </row>
    <row r="103" spans="2:10" ht="15" customHeight="1">
      <c r="B103" s="1" t="s">
        <v>214</v>
      </c>
      <c r="C103" s="97">
        <v>1</v>
      </c>
      <c r="D103" s="46"/>
      <c r="E103" s="98"/>
      <c r="G103" s="27">
        <f>Blockgröße_Delta*DeltasatzATP+BA_BlockverwP</f>
        <v>1712</v>
      </c>
      <c r="H103" s="1" t="s">
        <v>0</v>
      </c>
      <c r="I103" s="62">
        <f>BA_Block_ATP+BA_Block_ATP_P_Flag*Persistenz+BA_Block_ATP_K_Flag*(Guid22+KeyedPersistenz)</f>
        <v>1732</v>
      </c>
      <c r="J103" s="1" t="s">
        <v>0</v>
      </c>
    </row>
    <row r="104" spans="2:10" ht="15" customHeight="1">
      <c r="B104" s="1" t="s">
        <v>215</v>
      </c>
      <c r="C104" s="97">
        <v>1</v>
      </c>
      <c r="D104" s="46"/>
      <c r="E104" s="98"/>
      <c r="G104" s="27">
        <f>Blockgröße_Delta*DeltasatzALL+BA_BlockverwP</f>
        <v>1312</v>
      </c>
      <c r="H104" s="1" t="s">
        <v>0</v>
      </c>
      <c r="I104" s="62">
        <f>BA_Block_ALL+BA_Block_ALL_P_Flag*Persistenz+BA_Block_ALL_K_Flag*(Guid22+KeyedPersistenz)</f>
        <v>1332</v>
      </c>
      <c r="J104" s="1" t="s">
        <v>0</v>
      </c>
    </row>
    <row r="105" spans="2:10" ht="15" customHeight="1">
      <c r="B105" s="1" t="s">
        <v>216</v>
      </c>
      <c r="C105" s="97">
        <v>1</v>
      </c>
      <c r="D105" s="46"/>
      <c r="E105" s="98"/>
      <c r="G105" s="27">
        <f>Blockgröße_Delta*DeltasatzVPL+BA_BlockverwP</f>
        <v>1312</v>
      </c>
      <c r="H105" s="1" t="s">
        <v>0</v>
      </c>
      <c r="I105" s="62">
        <f>BA_Block_VPL+BA_Block_VPL_P_Flag*Persistenz+BA_Block_VPL_K_Flag*(Guid22+KeyedPersistenz)</f>
        <v>1332</v>
      </c>
      <c r="J105" s="1" t="s">
        <v>0</v>
      </c>
    </row>
    <row r="106" spans="2:10" ht="15" customHeight="1">
      <c r="B106" s="1" t="s">
        <v>217</v>
      </c>
      <c r="C106" s="97">
        <v>1</v>
      </c>
      <c r="D106" s="46"/>
      <c r="E106" s="98">
        <v>1</v>
      </c>
      <c r="G106" s="27">
        <v>24</v>
      </c>
      <c r="H106" s="1" t="s">
        <v>0</v>
      </c>
      <c r="I106" s="62">
        <f>Admin_Anker+AdminAnc_P_Flag*Persistenz+AdminAnc_K_Flag*(Guid22+KeyedPersistenz)+BA_KopfP</f>
        <v>132</v>
      </c>
      <c r="J106" s="1" t="s">
        <v>0</v>
      </c>
    </row>
    <row r="107" spans="2:10" ht="15" customHeight="1">
      <c r="B107" s="1" t="s">
        <v>218</v>
      </c>
      <c r="C107" s="97">
        <v>1</v>
      </c>
      <c r="D107" s="46"/>
      <c r="E107" s="98"/>
      <c r="G107" s="27">
        <f>Blockgröße_Delta*Guid22+BA_BlockverwP</f>
        <v>252</v>
      </c>
      <c r="H107" s="1" t="s">
        <v>0</v>
      </c>
      <c r="I107" s="62">
        <f>BA_Admin_Block+BA_Admin_P_Flag*Persistenz+BA_Admin_K_Flag*(Guid22+KeyedPersistenz)</f>
        <v>272</v>
      </c>
      <c r="J107" s="1" t="s">
        <v>0</v>
      </c>
    </row>
    <row r="108" spans="1:9" ht="15" customHeight="1">
      <c r="A108" s="3" t="s">
        <v>219</v>
      </c>
      <c r="B108" s="1" t="s">
        <v>220</v>
      </c>
      <c r="C108" s="97"/>
      <c r="D108" s="46"/>
      <c r="E108" s="98"/>
      <c r="G108" s="27"/>
      <c r="I108" s="5"/>
    </row>
    <row r="109" spans="2:10" ht="15" customHeight="1">
      <c r="B109" s="1" t="s">
        <v>221</v>
      </c>
      <c r="C109" s="97">
        <v>1</v>
      </c>
      <c r="D109" s="46"/>
      <c r="E109" s="98"/>
      <c r="G109" s="27">
        <v>28</v>
      </c>
      <c r="H109" s="1" t="s">
        <v>0</v>
      </c>
      <c r="I109" s="62">
        <f>BA_Kopf+BA_Kopf_P_Flag*Persistenz+BA_Kopf_K_Flag*(Guid22+KeyedPersistenz)</f>
        <v>48</v>
      </c>
      <c r="J109" s="1" t="s">
        <v>0</v>
      </c>
    </row>
    <row r="110" spans="2:10" ht="15" customHeight="1">
      <c r="B110" s="1" t="s">
        <v>222</v>
      </c>
      <c r="C110" s="97"/>
      <c r="D110" s="46"/>
      <c r="E110" s="98"/>
      <c r="G110" s="27">
        <v>32</v>
      </c>
      <c r="H110" s="1" t="s">
        <v>0</v>
      </c>
      <c r="I110" s="62">
        <f>BA_Blockverw</f>
        <v>32</v>
      </c>
      <c r="J110" s="1" t="s">
        <v>0</v>
      </c>
    </row>
    <row r="111" ht="15" customHeight="1"/>
    <row r="112" spans="1:9" s="2" customFormat="1" ht="15" customHeight="1">
      <c r="A112" s="4" t="s">
        <v>229</v>
      </c>
      <c r="B112" s="2" t="s">
        <v>230</v>
      </c>
      <c r="C112" s="48"/>
      <c r="D112" s="55"/>
      <c r="E112" s="36"/>
      <c r="G112" s="42"/>
      <c r="I112" s="56"/>
    </row>
    <row r="113" spans="1:10" s="2" customFormat="1" ht="15" customHeight="1">
      <c r="A113" s="3" t="s">
        <v>126</v>
      </c>
      <c r="B113" s="1" t="s">
        <v>231</v>
      </c>
      <c r="C113" s="97">
        <v>1</v>
      </c>
      <c r="D113" s="46"/>
      <c r="E113" s="98">
        <v>1</v>
      </c>
      <c r="F113" s="1"/>
      <c r="G113" s="27">
        <v>28</v>
      </c>
      <c r="H113" s="1" t="s">
        <v>0</v>
      </c>
      <c r="I113" s="99">
        <f>Zeitrasterkopf+Zeitrasterkopf_P_Flag*Persistenz+Zeitrasterkopf_K_Flag*Guid22</f>
        <v>70</v>
      </c>
      <c r="J113" s="1" t="s">
        <v>0</v>
      </c>
    </row>
    <row r="114" spans="1:10" s="2" customFormat="1" ht="15" customHeight="1">
      <c r="A114" s="3" t="s">
        <v>127</v>
      </c>
      <c r="B114" s="1" t="s">
        <v>232</v>
      </c>
      <c r="C114" s="97"/>
      <c r="D114" s="46"/>
      <c r="E114" s="98"/>
      <c r="F114" s="1"/>
      <c r="G114" s="27">
        <v>12</v>
      </c>
      <c r="H114" s="1" t="s">
        <v>0</v>
      </c>
      <c r="I114" s="99">
        <f>Bucketdefinition+Bucketdefinition_P_Flag*Persistenz+Bucketdefinition_K_Flag*Guid22</f>
        <v>12</v>
      </c>
      <c r="J114" s="1" t="s">
        <v>0</v>
      </c>
    </row>
    <row r="115" spans="1:10" s="2" customFormat="1" ht="15" customHeight="1">
      <c r="A115" s="3" t="s">
        <v>128</v>
      </c>
      <c r="B115" s="1" t="s">
        <v>233</v>
      </c>
      <c r="C115" s="97">
        <v>1</v>
      </c>
      <c r="D115" s="46"/>
      <c r="E115" s="98">
        <v>1</v>
      </c>
      <c r="F115" s="1"/>
      <c r="G115" s="27">
        <v>20</v>
      </c>
      <c r="H115" s="1" t="s">
        <v>0</v>
      </c>
      <c r="I115" s="99">
        <f>Zeitverschiebungskopf+Zeiverschiebungskopf_P_Flag*Persistenz+Zeiverschiebungskopf_K_Flag*Guid22</f>
        <v>62</v>
      </c>
      <c r="J115" s="1" t="s">
        <v>0</v>
      </c>
    </row>
    <row r="116" spans="1:10" s="2" customFormat="1" ht="15" customHeight="1">
      <c r="A116" s="3" t="s">
        <v>129</v>
      </c>
      <c r="B116" s="1" t="s">
        <v>234</v>
      </c>
      <c r="C116" s="97"/>
      <c r="D116" s="46"/>
      <c r="E116" s="98"/>
      <c r="F116" s="1"/>
      <c r="G116" s="27">
        <v>16</v>
      </c>
      <c r="H116" s="1" t="s">
        <v>0</v>
      </c>
      <c r="I116" s="99">
        <f>VerschiebungsElement+VerschiebungsElement_P_Flag*Persistenz+VerschiebungsElement_K_Flag*Guid22</f>
        <v>16</v>
      </c>
      <c r="J116" s="1" t="s">
        <v>0</v>
      </c>
    </row>
    <row r="117" spans="1:10" s="2" customFormat="1" ht="15" customHeight="1">
      <c r="A117" s="3" t="s">
        <v>130</v>
      </c>
      <c r="B117" s="1" t="s">
        <v>235</v>
      </c>
      <c r="C117" s="97">
        <v>1</v>
      </c>
      <c r="D117" s="46"/>
      <c r="E117" s="98">
        <v>1</v>
      </c>
      <c r="F117" s="1"/>
      <c r="G117" s="27">
        <v>64</v>
      </c>
      <c r="H117" s="1" t="s">
        <v>0</v>
      </c>
      <c r="I117" s="99">
        <f>Zeitreihenkopf+Zeitreihenkopf_P_Flag*Persistenz+Zeitreihenkopf_K_Flag*Guid22</f>
        <v>106</v>
      </c>
      <c r="J117" s="1" t="s">
        <v>0</v>
      </c>
    </row>
    <row r="118" spans="1:10" s="2" customFormat="1" ht="15" customHeight="1">
      <c r="A118" s="3" t="s">
        <v>131</v>
      </c>
      <c r="B118" s="1" t="s">
        <v>236</v>
      </c>
      <c r="C118" s="97"/>
      <c r="D118" s="46"/>
      <c r="E118" s="98"/>
      <c r="F118" s="1"/>
      <c r="G118" s="27">
        <v>12</v>
      </c>
      <c r="H118" s="1" t="s">
        <v>0</v>
      </c>
      <c r="I118" s="99">
        <f>Kennzahlschluessel+Kennzahlschluessel_P_Flag*Persistenz+Kennzahlschluessel_K_Flag*Guid22</f>
        <v>12</v>
      </c>
      <c r="J118" s="1" t="s">
        <v>0</v>
      </c>
    </row>
    <row r="119" spans="1:10" s="2" customFormat="1" ht="15" customHeight="1">
      <c r="A119" s="3" t="s">
        <v>132</v>
      </c>
      <c r="B119" s="1" t="s">
        <v>237</v>
      </c>
      <c r="C119" s="97">
        <v>1</v>
      </c>
      <c r="D119" s="46"/>
      <c r="E119" s="98"/>
      <c r="F119" s="1"/>
      <c r="G119" s="27">
        <v>40</v>
      </c>
      <c r="H119" s="1" t="s">
        <v>0</v>
      </c>
      <c r="I119" s="99">
        <f>Kennzahlbeschreibung+Kennzahlbeschreibung_P_Flag*Persistenz+Kennzahlbeschreibung_K_Flag*Guid22</f>
        <v>60</v>
      </c>
      <c r="J119" s="1" t="s">
        <v>0</v>
      </c>
    </row>
    <row r="120" spans="1:10" s="2" customFormat="1" ht="15" customHeight="1">
      <c r="A120" s="3" t="s">
        <v>133</v>
      </c>
      <c r="B120" s="1" t="s">
        <v>238</v>
      </c>
      <c r="C120" s="97"/>
      <c r="D120" s="46"/>
      <c r="E120" s="98"/>
      <c r="F120" s="1"/>
      <c r="G120" s="27">
        <v>8</v>
      </c>
      <c r="H120" s="1" t="s">
        <v>0</v>
      </c>
      <c r="I120" s="99">
        <f>EinfachWert+EinfachWert_P_Flag*Persistenz+EinfachWert_K_Flag*Guid22</f>
        <v>8</v>
      </c>
      <c r="J120" s="1" t="s">
        <v>0</v>
      </c>
    </row>
    <row r="121" spans="1:10" s="2" customFormat="1" ht="15" customHeight="1">
      <c r="A121" s="3" t="s">
        <v>178</v>
      </c>
      <c r="B121" s="1" t="s">
        <v>239</v>
      </c>
      <c r="C121" s="97"/>
      <c r="D121" s="46"/>
      <c r="E121" s="98"/>
      <c r="F121" s="1"/>
      <c r="G121" s="27">
        <v>28</v>
      </c>
      <c r="H121" s="1" t="s">
        <v>0</v>
      </c>
      <c r="I121" s="99">
        <f>FixWert+FixWert_P_Flag*Persistenz+FixWert_K_Flag*Guid22</f>
        <v>28</v>
      </c>
      <c r="J121" s="1" t="s">
        <v>0</v>
      </c>
    </row>
    <row r="122" spans="1:10" s="2" customFormat="1" ht="15" customHeight="1">
      <c r="A122" s="3" t="s">
        <v>246</v>
      </c>
      <c r="B122" s="1" t="s">
        <v>240</v>
      </c>
      <c r="C122" s="97">
        <v>1</v>
      </c>
      <c r="D122" s="46"/>
      <c r="E122" s="98"/>
      <c r="F122" s="1"/>
      <c r="G122" s="27">
        <v>32</v>
      </c>
      <c r="H122" s="1" t="s">
        <v>0</v>
      </c>
      <c r="I122" s="99">
        <f>Relationskopf+Relationskopf_P_Flag*Persistenz+Relationskopf_K_Flag*Guid22</f>
        <v>52</v>
      </c>
      <c r="J122" s="1" t="s">
        <v>0</v>
      </c>
    </row>
    <row r="123" spans="1:10" ht="15" customHeight="1">
      <c r="A123" s="3" t="s">
        <v>247</v>
      </c>
      <c r="B123" s="1" t="s">
        <v>241</v>
      </c>
      <c r="C123" s="97"/>
      <c r="D123" s="46"/>
      <c r="E123" s="98"/>
      <c r="G123" s="27">
        <v>8</v>
      </c>
      <c r="H123" s="1" t="s">
        <v>0</v>
      </c>
      <c r="I123" s="99">
        <f>UPRegel+UpRegel_P_Flag*Persistenz+UpRegel_K_Flag*Guid22</f>
        <v>8</v>
      </c>
      <c r="J123" s="1" t="s">
        <v>0</v>
      </c>
    </row>
    <row r="124" spans="1:10" ht="15" customHeight="1">
      <c r="A124" s="3" t="s">
        <v>248</v>
      </c>
      <c r="B124" s="1" t="s">
        <v>242</v>
      </c>
      <c r="C124" s="97"/>
      <c r="D124" s="46"/>
      <c r="E124" s="98"/>
      <c r="G124" s="27">
        <v>12</v>
      </c>
      <c r="H124" s="1" t="s">
        <v>0</v>
      </c>
      <c r="I124" s="99">
        <f>DOWNRegel+DOWNRegel_P_Flag*Persistenz+DOWNRegel_K_Flag*Guid22</f>
        <v>12</v>
      </c>
      <c r="J124" s="1" t="s">
        <v>0</v>
      </c>
    </row>
    <row r="125" spans="1:10" ht="15" customHeight="1">
      <c r="A125" s="3" t="s">
        <v>249</v>
      </c>
      <c r="B125" s="1" t="s">
        <v>243</v>
      </c>
      <c r="C125" s="97">
        <v>1</v>
      </c>
      <c r="D125" s="46"/>
      <c r="E125" s="98"/>
      <c r="G125" s="27">
        <v>48</v>
      </c>
      <c r="H125" s="1" t="s">
        <v>0</v>
      </c>
      <c r="I125" s="99">
        <f>SNPRelationskopf+SNPRelationskopf_P_Flag*Persistenz+SNPRelationskopf_K_Flag*Guid22</f>
        <v>68</v>
      </c>
      <c r="J125" s="1" t="s">
        <v>0</v>
      </c>
    </row>
    <row r="126" spans="1:10" ht="15" customHeight="1">
      <c r="A126" s="3" t="s">
        <v>250</v>
      </c>
      <c r="B126" s="1" t="s">
        <v>244</v>
      </c>
      <c r="C126" s="97"/>
      <c r="D126" s="46"/>
      <c r="E126" s="98"/>
      <c r="G126" s="27">
        <v>24</v>
      </c>
      <c r="H126" s="1" t="s">
        <v>0</v>
      </c>
      <c r="I126" s="99">
        <f>PushRegel+PushRegel_P_Flag*Persistenz+PushRegel_K_Flag*Guid22</f>
        <v>24</v>
      </c>
      <c r="J126" s="1" t="s">
        <v>0</v>
      </c>
    </row>
    <row r="127" spans="1:10" ht="15" customHeight="1">
      <c r="A127" s="3" t="s">
        <v>251</v>
      </c>
      <c r="B127" s="1" t="s">
        <v>245</v>
      </c>
      <c r="C127" s="97"/>
      <c r="D127" s="46"/>
      <c r="E127" s="98"/>
      <c r="G127" s="27">
        <v>24</v>
      </c>
      <c r="H127" s="1" t="s">
        <v>0</v>
      </c>
      <c r="I127" s="99">
        <f>PullRegel+PullRegel_P_Flag*Persistenz+PullRegel_K_Flag*Guid22</f>
        <v>24</v>
      </c>
      <c r="J127" s="1" t="s">
        <v>0</v>
      </c>
    </row>
    <row r="128" spans="4:9" ht="15" customHeight="1">
      <c r="D128" s="46"/>
      <c r="G128" s="95"/>
      <c r="I128" s="35"/>
    </row>
    <row r="129" spans="1:9" ht="21" customHeight="1">
      <c r="A129" s="4" t="s">
        <v>125</v>
      </c>
      <c r="B129" s="2" t="s">
        <v>14</v>
      </c>
      <c r="D129" s="46"/>
      <c r="I129" s="5"/>
    </row>
    <row r="130" spans="1:9" ht="15.75" customHeight="1">
      <c r="A130" s="3" t="s">
        <v>126</v>
      </c>
      <c r="B130" s="268" t="s">
        <v>13</v>
      </c>
      <c r="C130" s="268"/>
      <c r="D130" s="268"/>
      <c r="E130" s="268"/>
      <c r="G130" s="30">
        <v>2000000</v>
      </c>
      <c r="H130" s="1" t="s">
        <v>0</v>
      </c>
      <c r="I130" s="5"/>
    </row>
    <row r="131" spans="1:9" ht="15.75" customHeight="1">
      <c r="A131" s="3" t="s">
        <v>127</v>
      </c>
      <c r="B131" s="268" t="s">
        <v>19</v>
      </c>
      <c r="C131" s="268"/>
      <c r="D131" s="268"/>
      <c r="E131" s="268"/>
      <c r="G131" s="30">
        <v>15000000</v>
      </c>
      <c r="H131" s="1" t="s">
        <v>0</v>
      </c>
      <c r="I131" s="5"/>
    </row>
    <row r="132" spans="1:9" ht="15.75" customHeight="1">
      <c r="A132" s="3" t="s">
        <v>128</v>
      </c>
      <c r="B132" s="283" t="s">
        <v>159</v>
      </c>
      <c r="C132" s="265"/>
      <c r="D132" s="265"/>
      <c r="E132" s="265"/>
      <c r="G132" s="30">
        <v>5</v>
      </c>
      <c r="H132" s="1" t="s">
        <v>20</v>
      </c>
      <c r="I132" s="5"/>
    </row>
    <row r="133" spans="1:9" ht="15.75" customHeight="1">
      <c r="A133" s="3" t="s">
        <v>129</v>
      </c>
      <c r="B133" s="268" t="s">
        <v>11</v>
      </c>
      <c r="C133" s="268"/>
      <c r="D133" s="268"/>
      <c r="E133" s="268"/>
      <c r="G133" s="30">
        <v>20</v>
      </c>
      <c r="H133" s="1" t="s">
        <v>0</v>
      </c>
      <c r="I133" s="5"/>
    </row>
    <row r="134" spans="1:9" ht="15.75" customHeight="1">
      <c r="A134" s="3" t="s">
        <v>130</v>
      </c>
      <c r="B134" s="265" t="s">
        <v>152</v>
      </c>
      <c r="C134" s="265"/>
      <c r="D134" s="265"/>
      <c r="E134" s="265"/>
      <c r="G134" s="30">
        <v>100</v>
      </c>
      <c r="H134" s="1" t="s">
        <v>20</v>
      </c>
      <c r="I134" s="5"/>
    </row>
    <row r="135" spans="1:8" ht="15.75" customHeight="1">
      <c r="A135" s="3" t="s">
        <v>131</v>
      </c>
      <c r="B135" s="268" t="s">
        <v>27</v>
      </c>
      <c r="C135" s="268"/>
      <c r="D135" s="268"/>
      <c r="E135" s="268"/>
      <c r="G135" s="30">
        <v>8</v>
      </c>
      <c r="H135" s="1" t="s">
        <v>0</v>
      </c>
    </row>
    <row r="136" spans="1:8" ht="15" customHeight="1">
      <c r="A136" s="3" t="s">
        <v>132</v>
      </c>
      <c r="B136" s="268" t="s">
        <v>118</v>
      </c>
      <c r="C136" s="268"/>
      <c r="D136" s="268"/>
      <c r="E136" s="268"/>
      <c r="G136" s="30">
        <v>22</v>
      </c>
      <c r="H136" s="1" t="s">
        <v>0</v>
      </c>
    </row>
    <row r="137" spans="1:8" ht="15" customHeight="1">
      <c r="A137" s="3" t="s">
        <v>133</v>
      </c>
      <c r="B137" s="268" t="s">
        <v>164</v>
      </c>
      <c r="C137" s="268"/>
      <c r="D137" s="268"/>
      <c r="E137" s="268"/>
      <c r="G137" s="30">
        <v>126</v>
      </c>
      <c r="H137" s="1" t="s">
        <v>0</v>
      </c>
    </row>
    <row r="138" spans="1:8" ht="15" customHeight="1">
      <c r="A138" s="3" t="s">
        <v>178</v>
      </c>
      <c r="B138" s="268" t="s">
        <v>335</v>
      </c>
      <c r="C138" s="268"/>
      <c r="D138" s="268"/>
      <c r="E138" s="268"/>
      <c r="G138" s="30">
        <v>48</v>
      </c>
      <c r="H138" s="1" t="s">
        <v>0</v>
      </c>
    </row>
    <row r="139" spans="1:8" ht="15" customHeight="1">
      <c r="A139" s="3" t="s">
        <v>246</v>
      </c>
      <c r="B139" s="268" t="s">
        <v>179</v>
      </c>
      <c r="C139" s="268"/>
      <c r="D139" s="268"/>
      <c r="E139" s="268"/>
      <c r="G139" s="27">
        <v>18</v>
      </c>
      <c r="H139" s="1" t="s">
        <v>0</v>
      </c>
    </row>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sheetData>
  <mergeCells count="13">
    <mergeCell ref="B139:E139"/>
    <mergeCell ref="B137:E137"/>
    <mergeCell ref="B134:E134"/>
    <mergeCell ref="B132:E132"/>
    <mergeCell ref="B133:E133"/>
    <mergeCell ref="B135:E135"/>
    <mergeCell ref="B136:E136"/>
    <mergeCell ref="B138:E138"/>
    <mergeCell ref="G5:H5"/>
    <mergeCell ref="B130:E130"/>
    <mergeCell ref="B131:E131"/>
    <mergeCell ref="A1:J1"/>
    <mergeCell ref="I5:J5"/>
  </mergeCells>
  <printOptions/>
  <pageMargins left="0.3937007874015748" right="0.3937007874015748" top="0.5905511811023623" bottom="0.7874015748031497" header="0.5118110236220472" footer="0.5118110236220472"/>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SAP AG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LCQuickSizer</dc:title>
  <dc:subject>Abschätzung des Speicherbedarfs im LiveCache</dc:subject>
  <dc:creator>Volkmar Söhner</dc:creator>
  <cp:keywords/>
  <dc:description/>
  <cp:lastModifiedBy>TREFFERAN</cp:lastModifiedBy>
  <cp:lastPrinted>1999-03-01T10:18:09Z</cp:lastPrinted>
  <dcterms:created xsi:type="dcterms:W3CDTF">1998-02-16T09:56:22Z</dcterms:created>
  <dcterms:modified xsi:type="dcterms:W3CDTF">2001-06-28T09:36:22Z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_AdHocReviewCycle">
    <vt:i4>1648451002</vt:i4>
  </property>
  <property fmtid="{D5CDD505-2E9C-101B-9397-08002B2CF9AE}" pid="4" name="_EmailSubje">
    <vt:lpwstr>mySAP Supply Chain Management</vt:lpwstr>
  </property>
  <property fmtid="{D5CDD505-2E9C-101B-9397-08002B2CF9AE}" pid="5" name="_AuthorEma">
    <vt:lpwstr>Bill.Kelly@Compaq.com</vt:lpwstr>
  </property>
  <property fmtid="{D5CDD505-2E9C-101B-9397-08002B2CF9AE}" pid="6" name="_AuthorEmailDisplayNa">
    <vt:lpwstr>Kelly, William (HOU)</vt:lpwstr>
  </property>
</Properties>
</file>